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11325" tabRatio="598" activeTab="0"/>
  </bookViews>
  <sheets>
    <sheet name="Const. Vib. Calc." sheetId="1" r:id="rId1"/>
    <sheet name="Blast PPV Calc." sheetId="2" r:id="rId2"/>
    <sheet name="Damage Probability Calc." sheetId="3" r:id="rId3"/>
  </sheets>
  <definedNames>
    <definedName name="Disclaimer" localSheetId="1">'Blast PPV Calc.'!$B$65</definedName>
    <definedName name="Units">'Blast PPV Calc.'!$B$8:$B$21</definedName>
  </definedNames>
  <calcPr fullCalcOnLoad="1"/>
</workbook>
</file>

<file path=xl/sharedStrings.xml><?xml version="1.0" encoding="utf-8"?>
<sst xmlns="http://schemas.openxmlformats.org/spreadsheetml/2006/main" count="261" uniqueCount="206">
  <si>
    <t>Sheet Pile Driver (impact)</t>
  </si>
  <si>
    <t>Pavement Breaker</t>
  </si>
  <si>
    <t>Vibratory Roller</t>
  </si>
  <si>
    <t>Hoe Ram</t>
  </si>
  <si>
    <t>Excavator</t>
  </si>
  <si>
    <t>Tracked Equipment on pavement</t>
  </si>
  <si>
    <t>Small Dozer</t>
  </si>
  <si>
    <t>Pile Driver (impact)</t>
  </si>
  <si>
    <t>Pile Driver (sonic)</t>
  </si>
  <si>
    <t>Hydromill (slurry wall)</t>
  </si>
  <si>
    <t xml:space="preserve">typical </t>
  </si>
  <si>
    <t xml:space="preserve">upper range </t>
  </si>
  <si>
    <t>Clam shovel drop (slurry wall)</t>
  </si>
  <si>
    <t>in soil</t>
  </si>
  <si>
    <t xml:space="preserve">in rock </t>
  </si>
  <si>
    <t xml:space="preserve">Vibratory Roller </t>
  </si>
  <si>
    <t xml:space="preserve">Large bulldozer </t>
  </si>
  <si>
    <t xml:space="preserve">Caisson drilling </t>
  </si>
  <si>
    <t>Loaded trucks</t>
  </si>
  <si>
    <t>Jackhammer</t>
  </si>
  <si>
    <t xml:space="preserve">Small bulldozer </t>
  </si>
  <si>
    <t>Equipment type</t>
  </si>
  <si>
    <t>Loaded Dump Body Trucks on gravel haul road</t>
  </si>
  <si>
    <t>I Weak or soft soils: loose soils, dry or partially saturated peat and muck, mud, loose beach sand, and dune sand, recently plowed ground, soft spongy forest or jungle floor, organic soils, top soil. (shovel penetrates easily)</t>
  </si>
  <si>
    <t>II Competent soils: most sands, sandy clays, silty clays, gravel,silts, weathered rock. (can dig with shovel)</t>
  </si>
  <si>
    <t>IV Hard, competent rock: bedrock, freshly exposed hard rock. (difficult to break with hammer)</t>
  </si>
  <si>
    <t>(NHDOT)</t>
  </si>
  <si>
    <t>(FTA)</t>
  </si>
  <si>
    <t>(FLDOT compactor data)</t>
  </si>
  <si>
    <t>Source</t>
  </si>
  <si>
    <t>Ground Vibration PPV and Safe Distance Calculator</t>
  </si>
  <si>
    <t>Enter U.S. Units</t>
  </si>
  <si>
    <t>Enter Metric Units</t>
  </si>
  <si>
    <t>hard rock</t>
  </si>
  <si>
    <t>soft soils</t>
  </si>
  <si>
    <t>I. Reinforced-concrete, steel or timber (no plaster)</t>
  </si>
  <si>
    <t xml:space="preserve">II. Engineered concrete and masonry (no plaster) </t>
  </si>
  <si>
    <t xml:space="preserve">IV. Buildings extremely susceptible to vibration damage </t>
  </si>
  <si>
    <t>Max PPV (in/sec)</t>
  </si>
  <si>
    <t>Building type</t>
  </si>
  <si>
    <t>III. Non-engineered timber and masonry buildings (most homes)</t>
  </si>
  <si>
    <t>Max PPV (mm/sec)</t>
  </si>
  <si>
    <t>Reference Section</t>
  </si>
  <si>
    <t>NHDOT, hard soils</t>
  </si>
  <si>
    <t>FTA</t>
  </si>
  <si>
    <t>comp. soils</t>
  </si>
  <si>
    <t>FLDOT compactor</t>
  </si>
  <si>
    <t>Note: U.S. FTA limits are similar to the Swiss machines and traffic standard, SN 640 312a, at the high frequency limit</t>
  </si>
  <si>
    <t>→</t>
  </si>
  <si>
    <t>FTA Class I Min. Safe Dist. (ft.) for Meas. or Ref. PPV</t>
  </si>
  <si>
    <t>FTA Class II Min. Safe Dist. (ft.) for Meas. or Ref. PPV</t>
  </si>
  <si>
    <t>FTA Class III Min. Safe Dist. (ft.) for Meas. or Ref. PPV</t>
  </si>
  <si>
    <t>FTA Class IV Min. Safe Dist. (ft.) for Meas. or Ref. PPV</t>
  </si>
  <si>
    <t>Soil Class or source (see suggested reference values below pane)</t>
  </si>
  <si>
    <t>FTA Class II Min. Safe Dist. (m.) for  Meas. or Ref. PPV</t>
  </si>
  <si>
    <t>FTA Class III Min. Safe Dist. (m.) for Meas. or Ref. PPV</t>
  </si>
  <si>
    <t>FTA Class I Min. Safe Dist. (m.) for Meas. or Ref. PPV</t>
  </si>
  <si>
    <t>FTA Class IV Min. Safe Dist. (m.) for Meas. or Ref. PPV</t>
  </si>
  <si>
    <t>Ref. PPV at 7.62 m (mm/sec)</t>
  </si>
  <si>
    <t>Ref. PPV at 25 ft. (in/sec)</t>
  </si>
  <si>
    <t>Ref. PPV at 25 ft (in/sec)</t>
  </si>
  <si>
    <t>Calc. PPV at structure for Meas. or Ref. PPV (mm/sec)</t>
  </si>
  <si>
    <t>Calc. PPV at structure for Meas. or Ref. PPV (in/sec)</t>
  </si>
  <si>
    <t>Calc. PPV at structure  for Meas. or Ref. PPV (in/sec)</t>
  </si>
  <si>
    <t>Licensed for personal, non-business use only</t>
  </si>
  <si>
    <t>Homes without plaster walls</t>
  </si>
  <si>
    <t>Homes with plaster walls</t>
  </si>
  <si>
    <t>OSM Mid-frequency limit</t>
  </si>
  <si>
    <t>U.S. Blasting Limits</t>
  </si>
  <si>
    <t>USBM RI8507 Mid-frequency suggested</t>
  </si>
  <si>
    <r>
      <t>Minimum Safe Distance Calculation: D</t>
    </r>
    <r>
      <rPr>
        <i/>
        <vertAlign val="subscript"/>
        <sz val="10"/>
        <color indexed="8"/>
        <rFont val="Trebuchet MS"/>
        <family val="2"/>
      </rPr>
      <t>min</t>
    </r>
    <r>
      <rPr>
        <i/>
        <sz val="10"/>
        <color indexed="8"/>
        <rFont val="Trebuchet MS"/>
        <family val="2"/>
      </rPr>
      <t xml:space="preserve"> = 10^((log25-(logPPV</t>
    </r>
    <r>
      <rPr>
        <i/>
        <vertAlign val="subscript"/>
        <sz val="10"/>
        <color indexed="8"/>
        <rFont val="Trebuchet MS"/>
        <family val="2"/>
      </rPr>
      <t>standard</t>
    </r>
    <r>
      <rPr>
        <i/>
        <sz val="10"/>
        <color indexed="8"/>
        <rFont val="Trebuchet MS"/>
        <family val="2"/>
      </rPr>
      <t xml:space="preserve"> - logPPV</t>
    </r>
    <r>
      <rPr>
        <i/>
        <vertAlign val="subscript"/>
        <sz val="10"/>
        <color indexed="8"/>
        <rFont val="Trebuchet MS"/>
        <family val="2"/>
      </rPr>
      <t>measured</t>
    </r>
    <r>
      <rPr>
        <i/>
        <sz val="10"/>
        <color indexed="8"/>
        <rFont val="Trebuchet MS"/>
        <family val="2"/>
      </rPr>
      <t>)/n)</t>
    </r>
  </si>
  <si>
    <r>
      <t>PPV Calculation: PPV</t>
    </r>
    <r>
      <rPr>
        <i/>
        <vertAlign val="subscript"/>
        <sz val="10"/>
        <color indexed="8"/>
        <rFont val="Trebuchet MS"/>
        <family val="2"/>
      </rPr>
      <t>structure</t>
    </r>
    <r>
      <rPr>
        <i/>
        <sz val="10"/>
        <color indexed="8"/>
        <rFont val="Trebuchet MS"/>
        <family val="2"/>
      </rPr>
      <t xml:space="preserve"> = PPV</t>
    </r>
    <r>
      <rPr>
        <i/>
        <vertAlign val="subscript"/>
        <sz val="10"/>
        <color indexed="8"/>
        <rFont val="Trebuchet MS"/>
        <family val="2"/>
      </rPr>
      <t>measured</t>
    </r>
    <r>
      <rPr>
        <i/>
        <sz val="10"/>
        <color indexed="8"/>
        <rFont val="Trebuchet MS"/>
        <family val="2"/>
      </rPr>
      <t>  x  (D</t>
    </r>
    <r>
      <rPr>
        <i/>
        <vertAlign val="subscript"/>
        <sz val="10"/>
        <color indexed="8"/>
        <rFont val="Trebuchet MS"/>
        <family val="2"/>
      </rPr>
      <t>measured</t>
    </r>
    <r>
      <rPr>
        <i/>
        <sz val="10"/>
        <color indexed="8"/>
        <rFont val="Trebuchet MS"/>
        <family val="2"/>
      </rPr>
      <t>/D</t>
    </r>
    <r>
      <rPr>
        <i/>
        <vertAlign val="subscript"/>
        <sz val="10"/>
        <color indexed="8"/>
        <rFont val="Trebuchet MS"/>
        <family val="2"/>
      </rPr>
      <t>structure</t>
    </r>
    <r>
      <rPr>
        <i/>
        <sz val="10"/>
        <color indexed="8"/>
        <rFont val="Trebuchet MS"/>
        <family val="2"/>
      </rPr>
      <t>)</t>
    </r>
    <r>
      <rPr>
        <i/>
        <vertAlign val="superscript"/>
        <sz val="10"/>
        <color indexed="8"/>
        <rFont val="Trebuchet MS"/>
        <family val="2"/>
      </rPr>
      <t>n</t>
    </r>
  </si>
  <si>
    <r>
      <t xml:space="preserve">Enter your </t>
    </r>
    <r>
      <rPr>
        <b/>
        <sz val="10"/>
        <color indexed="48"/>
        <rFont val="Arial"/>
        <family val="2"/>
      </rPr>
      <t>U.S. unit values</t>
    </r>
    <r>
      <rPr>
        <b/>
        <sz val="10"/>
        <rFont val="Arial"/>
        <family val="0"/>
      </rPr>
      <t xml:space="preserve"> at right</t>
    </r>
  </si>
  <si>
    <r>
      <t xml:space="preserve">Enter your </t>
    </r>
    <r>
      <rPr>
        <b/>
        <sz val="10"/>
        <color indexed="57"/>
        <rFont val="Arial"/>
        <family val="2"/>
      </rPr>
      <t>metric values</t>
    </r>
    <r>
      <rPr>
        <b/>
        <sz val="10"/>
        <rFont val="Arial"/>
        <family val="0"/>
      </rPr>
      <t xml:space="preserve"> at right</t>
    </r>
  </si>
  <si>
    <t>Distance of Measured Velocity (or Ref. Dist.) from Vibration Source (ft.) (Required, insert below)</t>
  </si>
  <si>
    <t>Structure distance from Vibration Source (ft.) (Required, insert below)</t>
  </si>
  <si>
    <t>Measured PPV (or Ref. PPV) (in/sec) (Required, insert below)</t>
  </si>
  <si>
    <t>Distance of Measured Velocity (or Ref. Dist.) from Vibration Source (m.) (Required, insert below)</t>
  </si>
  <si>
    <t>Structure distance from Vibration Source (m.) (Required, insert below)</t>
  </si>
  <si>
    <t>Measured PPV (or Ref. PPV) (mm/sec) (Required, insert below)</t>
  </si>
  <si>
    <t>Soil type</t>
  </si>
  <si>
    <t>0 to 300</t>
  </si>
  <si>
    <t>301 to 5,000</t>
  </si>
  <si>
    <t>5,001 and beyond</t>
  </si>
  <si>
    <t>U.S. OSM Blasting Regulations</t>
  </si>
  <si>
    <t>Scaled-distance factor to be applied without seismic monitoring (Ds)</t>
  </si>
  <si>
    <t>Distance (D) from the blasting site, in feet</t>
  </si>
  <si>
    <t>Allowable PPV (V max, in/sec) with monitoring</t>
  </si>
  <si>
    <t>U.S. FTA Construction Standard Limits</t>
  </si>
  <si>
    <r>
      <t>U.S. FTA Construction PPV</t>
    </r>
    <r>
      <rPr>
        <b/>
        <vertAlign val="subscript"/>
        <sz val="12"/>
        <rFont val="Arial"/>
        <family val="2"/>
      </rPr>
      <t>ref</t>
    </r>
    <r>
      <rPr>
        <b/>
        <sz val="12"/>
        <rFont val="Arial"/>
        <family val="0"/>
      </rPr>
      <t xml:space="preserve"> Values</t>
    </r>
  </si>
  <si>
    <r>
      <t>Updated NHDOT Construction PPV</t>
    </r>
    <r>
      <rPr>
        <b/>
        <vertAlign val="subscript"/>
        <sz val="12"/>
        <rFont val="Arial"/>
        <family val="2"/>
      </rPr>
      <t>ref</t>
    </r>
    <r>
      <rPr>
        <b/>
        <sz val="12"/>
        <rFont val="Arial"/>
        <family val="0"/>
      </rPr>
      <t xml:space="preserve"> Values</t>
    </r>
  </si>
  <si>
    <t>III Hard soils: dense compacted sand, dry consolidated clay, consolidated glacial till, some exposed rock. (cannot dig with shovel, need pick to break up)</t>
  </si>
  <si>
    <t>Optional Vibration Limit Min. Safe Distance (ft.) (you can edit this label)</t>
  </si>
  <si>
    <t>Optional Vibration Limit Min. Safe Distance (m.) (you can edit this label)</t>
  </si>
  <si>
    <t>Building Class Definition</t>
  </si>
  <si>
    <t>Continuous Source (e.g. construction, traffic) (10-30 Hz) PPV</t>
  </si>
  <si>
    <t>in/sec, (mm/sec)</t>
  </si>
  <si>
    <t>Single-Event Source(10-60 Hz) (e.g. blasting) PPV in/sec, (mm/sec)</t>
  </si>
  <si>
    <t>Continuous Source (e.g. construction, traffic) (30-60) Hz)</t>
  </si>
  <si>
    <t>PPV</t>
  </si>
  <si>
    <t>Single-Event Source(60-90 Hz) (e.g. blasting) PPV in/sec, (mm/sec)</t>
  </si>
  <si>
    <t xml:space="preserve">Class I: buildings in steel or reinforced concrete, such as factories, retaining walls, bridges, steel towers, open channels, underground chambers and tunnels with and without concrete alignment. </t>
  </si>
  <si>
    <t>0.5 (12)</t>
  </si>
  <si>
    <t>1.2 (30)</t>
  </si>
  <si>
    <t>1.2-1.6 (30-40)</t>
  </si>
  <si>
    <t xml:space="preserve">Class II: buildings with foundation walls and floors in concrete, walls in concrete or masonry, stone masonry retaining walls, underground chambers and tunnels with masonry alignments, conduits in loose material </t>
  </si>
  <si>
    <t>0.3 (8)</t>
  </si>
  <si>
    <t>0.7 (18)</t>
  </si>
  <si>
    <t>0.3-0.5 (8-12)</t>
  </si>
  <si>
    <t>Class III: buildings as mentioned above but with wooden ceilings and walls in masonry</t>
  </si>
  <si>
    <t>0.2 (5)</t>
  </si>
  <si>
    <t>0.3 (8-8)</t>
  </si>
  <si>
    <t xml:space="preserve">Class IV: construction very sensitive to vibration; objects of historic interest  </t>
  </si>
  <si>
    <t>0.12 (3)</t>
  </si>
  <si>
    <t>0.12-0.2 (3-5)</t>
  </si>
  <si>
    <t xml:space="preserve">0.5-0.7 (12-18) </t>
  </si>
  <si>
    <t>Swiss Machines and Traffic Standard, SN 640 312</t>
  </si>
  <si>
    <t xml:space="preserve">List </t>
  </si>
  <si>
    <t>Structure type</t>
  </si>
  <si>
    <r>
      <t>Guideline values*, v</t>
    </r>
    <r>
      <rPr>
        <b/>
        <vertAlign val="subscript"/>
        <sz val="10"/>
        <color indexed="8"/>
        <rFont val="Trebuchet MS"/>
        <family val="2"/>
      </rPr>
      <t>h,</t>
    </r>
    <r>
      <rPr>
        <b/>
        <sz val="10"/>
        <color indexed="8"/>
        <rFont val="Trebuchet MS"/>
        <family val="2"/>
      </rPr>
      <t xml:space="preserve"> in horiz. plane, in/sec (mm/sec)</t>
    </r>
  </si>
  <si>
    <t>Buildings used for commercial purpose, industrial buildings and buildings of similar type</t>
  </si>
  <si>
    <t>0.4 (10)</t>
  </si>
  <si>
    <t>Dwellings and buildings of similar design and/or occupancy</t>
  </si>
  <si>
    <t>Structures that, because of a particular sensitivity to vibration cannot be classified under lines 1 and 2, and are of great intrinsic value (e.g. listed buildings under preservation order)</t>
  </si>
  <si>
    <t> 0.1 (2.5)</t>
  </si>
  <si>
    <t>* Guidelines are frequency independent</t>
  </si>
  <si>
    <t>German DIN 4150-3</t>
  </si>
  <si>
    <t>Structure Type</t>
  </si>
  <si>
    <t>Freq. range (Hz)</t>
  </si>
  <si>
    <t>Max. PPV in/sec (mm/sec)</t>
  </si>
  <si>
    <t>Unreinforced or light framed structures, residential or light commercial type buildings</t>
  </si>
  <si>
    <t xml:space="preserve">4–15 </t>
  </si>
  <si>
    <t>0.6–0.8 (15–20)</t>
  </si>
  <si>
    <t xml:space="preserve">&gt;15 </t>
  </si>
  <si>
    <t>0.8–2 (20–50)</t>
  </si>
  <si>
    <t>British Standard BS 7385-2</t>
  </si>
  <si>
    <r>
      <t>Vibration Standard Limit other than FTA, (in/sec) (</t>
    </r>
    <r>
      <rPr>
        <b/>
        <sz val="10"/>
        <color indexed="48"/>
        <rFont val="Arial"/>
        <family val="0"/>
      </rPr>
      <t>Optional, insert limit velocity below</t>
    </r>
    <r>
      <rPr>
        <i/>
        <sz val="10"/>
        <color indexed="48"/>
        <rFont val="Arial"/>
        <family val="0"/>
      </rPr>
      <t>)</t>
    </r>
  </si>
  <si>
    <r>
      <t>Vibration Standard Limit other than FTA, (mm/sec) (</t>
    </r>
    <r>
      <rPr>
        <b/>
        <sz val="10"/>
        <color indexed="57"/>
        <rFont val="Arial"/>
        <family val="0"/>
      </rPr>
      <t>Optional, insert limit velocity below</t>
    </r>
    <r>
      <rPr>
        <i/>
        <sz val="10"/>
        <color indexed="57"/>
        <rFont val="Arial"/>
        <family val="0"/>
      </rPr>
      <t>)</t>
    </r>
  </si>
  <si>
    <t>←Optional n</t>
  </si>
  <si>
    <t>Atten. Exponent n</t>
  </si>
  <si>
    <t xml:space="preserve">To use: click on the colored cells having large font numbers and replace the test values with your values for distances (reference or measured) and velocities (measured or reference) in either U.S. Units (at left) or metric units (at right). U.S. and metric units panels operate independently of each other. Calculated PPV's will update automatically as you change values; just click anyplace outside the data entry cells.  </t>
  </si>
  <si>
    <t>(Caltrans suggested)</t>
  </si>
  <si>
    <t>Suggested atten. exponent, n</t>
  </si>
  <si>
    <t>See http://vibrationdamage.com/vibration_and_distance.htm for more information about and interpretation of these numbers</t>
  </si>
  <si>
    <r>
      <t>©</t>
    </r>
    <r>
      <rPr>
        <i/>
        <sz val="10"/>
        <rFont val="Arial"/>
        <family val="0"/>
      </rPr>
      <t xml:space="preserve">Copyright 2018-2022 John M. Zeigler </t>
    </r>
  </si>
  <si>
    <t>Scaled Distance Blasting Vibration Calculation</t>
  </si>
  <si>
    <t>Reference</t>
  </si>
  <si>
    <t>Parameters</t>
  </si>
  <si>
    <t>Messages</t>
  </si>
  <si>
    <t>Vary exponent b</t>
  </si>
  <si>
    <t>Vary charge wt. scaling</t>
  </si>
  <si>
    <t>Additional Notes</t>
  </si>
  <si>
    <t>V. 1, Copyright John M. Zeigler 2022 All rights reserved</t>
  </si>
  <si>
    <r>
      <t>PPV =  K(SD)</t>
    </r>
    <r>
      <rPr>
        <b/>
        <vertAlign val="superscript"/>
        <sz val="14"/>
        <rFont val="Arial"/>
        <family val="2"/>
      </rPr>
      <t>-b</t>
    </r>
  </si>
  <si>
    <r>
      <t>Charge weight scaling</t>
    </r>
    <r>
      <rPr>
        <i/>
        <sz val="12"/>
        <rFont val="Arial"/>
        <family val="2"/>
      </rPr>
      <t>: square root (</t>
    </r>
    <r>
      <rPr>
        <b/>
        <i/>
        <sz val="12"/>
        <rFont val="Arial"/>
        <family val="2"/>
      </rPr>
      <t>0.5</t>
    </r>
    <r>
      <rPr>
        <i/>
        <sz val="12"/>
        <rFont val="Arial"/>
        <family val="2"/>
      </rPr>
      <t>); cube root (0.33)</t>
    </r>
  </si>
  <si>
    <r>
      <t>Scaled-distance factor to be applied without seismic monitoring (Ds), ft./</t>
    </r>
    <r>
      <rPr>
        <b/>
        <sz val="9"/>
        <rFont val="Trebuchet MS"/>
        <family val="2"/>
      </rPr>
      <t>√</t>
    </r>
    <r>
      <rPr>
        <b/>
        <sz val="9"/>
        <rFont val="Arial"/>
        <family val="0"/>
      </rPr>
      <t>lb</t>
    </r>
  </si>
  <si>
    <r>
      <t>Scaled-distance factor to be applied without seismic monitoring (Ds), m/</t>
    </r>
    <r>
      <rPr>
        <b/>
        <sz val="9"/>
        <rFont val="Trebuchet MS"/>
        <family val="2"/>
      </rPr>
      <t>√kg</t>
    </r>
  </si>
  <si>
    <t>Tips:</t>
  </si>
  <si>
    <t>Online documentation</t>
  </si>
  <si>
    <t>Parameter Variations</t>
  </si>
  <si>
    <t>Parameter Variations (leaving all others constant) for first data row only</t>
  </si>
  <si>
    <t>Tips</t>
  </si>
  <si>
    <t>Top</t>
  </si>
  <si>
    <t>Calculate</t>
  </si>
  <si>
    <t>Reference section</t>
  </si>
  <si>
    <t>Calculate in U.S. units</t>
  </si>
  <si>
    <t>Calculate in metric units</t>
  </si>
  <si>
    <t>For more help and tips on using the Calculator, see https://vibrationdamage.com/vibration_calculator.htm</t>
  </si>
  <si>
    <t>Chosen values repeated in first row below, variations follow</t>
  </si>
  <si>
    <t>Although scaled distance calculations are most commonly used for blasting vibration, they have also been shown to be valuable in construction vibrations from equipment. You can use the calculator in those settings as well, if you have the source energy parmeters (equivalent to the charge weights) and the corresponding K values.</t>
  </si>
  <si>
    <t>Allowable PPV (V max, mm/sec) with monitoring</t>
  </si>
  <si>
    <r>
      <t xml:space="preserve">Safe distances are not calculated here because blasting limits are frequency-dependent. Scaled distances less than the U.S. OSM limits are considered "unsafe" from a vibration standpoint. They are flagged in </t>
    </r>
    <r>
      <rPr>
        <b/>
        <i/>
        <sz val="10"/>
        <color indexed="10"/>
        <rFont val="Arial"/>
        <family val="2"/>
      </rPr>
      <t>bold italic</t>
    </r>
    <r>
      <rPr>
        <sz val="10"/>
        <rFont val="Arial"/>
        <family val="0"/>
      </rPr>
      <t xml:space="preserve"> when they occur. Blasting vibration PPV's in excess of the U.S. OSM limits for monitored blasts are similarly highlighted. The limits are for single blasts; those for multiple blasts should be somewhat lower, as multiple blasts increase the damage probability. </t>
    </r>
    <r>
      <rPr>
        <b/>
        <sz val="10"/>
        <rFont val="Arial"/>
        <family val="2"/>
      </rPr>
      <t>PPV results should be applyed with at least a 2x safety factor, to take into account limitations of the calculation approach and accuracy</t>
    </r>
    <r>
      <rPr>
        <sz val="10"/>
        <rFont val="Arial"/>
        <family val="0"/>
      </rPr>
      <t>.</t>
    </r>
  </si>
  <si>
    <r>
      <t xml:space="preserve">If you plan to use the same parameter values for multiple or all calculations, select the parameter cell(s) that have the value you want and use the drag handle at the lower right of the cell to drag the same value down the column. Choose "Fill without formatting" from the drop down fill menu. This trick is particularly useful for those parameters (units, charge weight scaling, b exponent and K factor) which often remain at the default values shown in the first row. Remember that you </t>
    </r>
    <r>
      <rPr>
        <b/>
        <sz val="10"/>
        <rFont val="Arial"/>
        <family val="2"/>
      </rPr>
      <t>must</t>
    </r>
    <r>
      <rPr>
        <sz val="10"/>
        <rFont val="Arial"/>
        <family val="0"/>
      </rPr>
      <t xml:space="preserve"> use a K factor of the correct unit type for your chosen units. To clear data, you can use the drag handle to select the data you want to delete, then press the Delete key. It is recommended that you NOT delete parameters in the first data row, although you can change them at will.</t>
    </r>
  </si>
  <si>
    <t>Distance (D) from the blasting site, in meters</t>
  </si>
  <si>
    <t>0 to 91.44</t>
  </si>
  <si>
    <t>91.74 to 1524</t>
  </si>
  <si>
    <t>1524.3 and beyond</t>
  </si>
  <si>
    <t>(0.5 charge weight scaling factor required)</t>
  </si>
  <si>
    <r>
      <t>Confinement factor (K) (</t>
    </r>
    <r>
      <rPr>
        <b/>
        <sz val="12"/>
        <color indexed="17"/>
        <rFont val="Arial"/>
        <family val="2"/>
      </rPr>
      <t xml:space="preserve">Metric units - typical </t>
    </r>
    <r>
      <rPr>
        <b/>
        <i/>
        <sz val="12"/>
        <color indexed="17"/>
        <rFont val="Arial"/>
        <family val="2"/>
      </rPr>
      <t>1140</t>
    </r>
    <r>
      <rPr>
        <sz val="12"/>
        <color indexed="17"/>
        <rFont val="Arial"/>
        <family val="2"/>
      </rPr>
      <t>, range 500-5000</t>
    </r>
    <r>
      <rPr>
        <b/>
        <sz val="12"/>
        <color indexed="17"/>
        <rFont val="Arial"/>
        <family val="2"/>
      </rPr>
      <t>)</t>
    </r>
    <r>
      <rPr>
        <b/>
        <sz val="12"/>
        <rFont val="Arial"/>
        <family val="2"/>
      </rPr>
      <t xml:space="preserve">; </t>
    </r>
    <r>
      <rPr>
        <b/>
        <sz val="12"/>
        <color indexed="12"/>
        <rFont val="Arial"/>
        <family val="2"/>
      </rPr>
      <t xml:space="preserve">U.S. units - typical </t>
    </r>
    <r>
      <rPr>
        <b/>
        <i/>
        <sz val="12"/>
        <color indexed="12"/>
        <rFont val="Arial"/>
        <family val="2"/>
      </rPr>
      <t>150</t>
    </r>
    <r>
      <rPr>
        <sz val="12"/>
        <color indexed="12"/>
        <rFont val="Arial"/>
        <family val="2"/>
      </rPr>
      <t>, range 20-600</t>
    </r>
    <r>
      <rPr>
        <b/>
        <sz val="12"/>
        <rFont val="Arial"/>
        <family val="2"/>
      </rPr>
      <t>)</t>
    </r>
  </si>
  <si>
    <r>
      <t>Distance from charge (</t>
    </r>
    <r>
      <rPr>
        <b/>
        <sz val="12"/>
        <color indexed="12"/>
        <rFont val="Arial"/>
        <family val="2"/>
      </rPr>
      <t>ft.</t>
    </r>
    <r>
      <rPr>
        <b/>
        <sz val="12"/>
        <rFont val="Arial"/>
        <family val="2"/>
      </rPr>
      <t xml:space="preserve"> or </t>
    </r>
    <r>
      <rPr>
        <b/>
        <sz val="12"/>
        <color indexed="17"/>
        <rFont val="Arial"/>
        <family val="2"/>
      </rPr>
      <t>m</t>
    </r>
    <r>
      <rPr>
        <b/>
        <sz val="12"/>
        <rFont val="Arial"/>
        <family val="2"/>
      </rPr>
      <t>.)</t>
    </r>
  </si>
  <si>
    <r>
      <t>Charge Weight per delay (</t>
    </r>
    <r>
      <rPr>
        <b/>
        <sz val="12"/>
        <color indexed="12"/>
        <rFont val="Arial"/>
        <family val="2"/>
      </rPr>
      <t>lb</t>
    </r>
    <r>
      <rPr>
        <b/>
        <sz val="12"/>
        <rFont val="Arial"/>
        <family val="2"/>
      </rPr>
      <t xml:space="preserve">. or </t>
    </r>
    <r>
      <rPr>
        <b/>
        <sz val="12"/>
        <color indexed="17"/>
        <rFont val="Arial"/>
        <family val="2"/>
      </rPr>
      <t>kg</t>
    </r>
    <r>
      <rPr>
        <b/>
        <sz val="12"/>
        <rFont val="Arial"/>
        <family val="2"/>
      </rPr>
      <t>.)</t>
    </r>
  </si>
  <si>
    <r>
      <t>Disclaimer: The pages, documents, illustrations and tools on Vibrationdamage.com are</t>
    </r>
    <r>
      <rPr>
        <b/>
        <i/>
        <sz val="10"/>
        <color indexed="8"/>
        <rFont val="Trebuchet MS"/>
        <family val="2"/>
      </rPr>
      <t xml:space="preserve"> not offered, and should not be considered, as advice or counsel on the law in any jurisdiction or form</t>
    </r>
    <r>
      <rPr>
        <i/>
        <sz val="10"/>
        <color indexed="8"/>
        <rFont val="Trebuchet MS"/>
        <family val="2"/>
      </rPr>
      <t>. Seek the advice of an attorney having construction vibration damage claim experience and knowledge, if you need legal help. Trademarks appearing on the site and in the CVDG are the properties of their respective owners and are used in the CVDG only for the purpose of identification. Information appearing on the site and in the CVDG is believed correct, but the site contents and the CVDG are provided "as-is". They are not guaranteed or warranted in any way, nor are your uses of them warranted or guaranteed.</t>
    </r>
  </si>
  <si>
    <t>Disclaimer</t>
  </si>
  <si>
    <r>
      <t>Desired input units (</t>
    </r>
    <r>
      <rPr>
        <b/>
        <i/>
        <sz val="12"/>
        <color indexed="12"/>
        <rFont val="Arial"/>
        <family val="2"/>
      </rPr>
      <t>1</t>
    </r>
    <r>
      <rPr>
        <b/>
        <sz val="12"/>
        <color indexed="12"/>
        <rFont val="Arial"/>
        <family val="2"/>
      </rPr>
      <t xml:space="preserve"> - U.S</t>
    </r>
    <r>
      <rPr>
        <b/>
        <sz val="12"/>
        <rFont val="Arial"/>
        <family val="2"/>
      </rPr>
      <t xml:space="preserve">, </t>
    </r>
    <r>
      <rPr>
        <b/>
        <sz val="12"/>
        <color indexed="17"/>
        <rFont val="Arial"/>
        <family val="2"/>
      </rPr>
      <t>2 - Metric</t>
    </r>
    <r>
      <rPr>
        <b/>
        <sz val="12"/>
        <rFont val="Arial"/>
        <family val="2"/>
      </rPr>
      <t>)</t>
    </r>
  </si>
  <si>
    <t>Disclaimer: The pages, documents, illustrations and tools on Vibrationdamage.com are not offered, and should not be considered, as advice or counsel on the law in any jurisdiction or form. Seek the advice of an attorney having construction vibration damage claim experience and knowledge, if you need legal help. Trademarks appearing on the site and in the CVDG are the properties of their respective owners and are used in the CVDG only for the purpose of identification. Information appearing on the site and in the CVDG is believed correct, but the site contents and the CVDG are provided "as-is". They are not guaranteed or warranted in any way, nor are your uses of them warranted or guaranteed.</t>
  </si>
  <si>
    <r>
      <t>See Reference section below the calculation panes for PPV</t>
    </r>
    <r>
      <rPr>
        <u val="single"/>
        <vertAlign val="subscript"/>
        <sz val="10"/>
        <color indexed="12"/>
        <rFont val="Arial"/>
        <family val="2"/>
      </rPr>
      <t>ref</t>
    </r>
    <r>
      <rPr>
        <u val="single"/>
        <sz val="10"/>
        <color indexed="12"/>
        <rFont val="Arial"/>
        <family val="0"/>
      </rPr>
      <t xml:space="preserve"> values and explanation of appropriate exponents for various locales and soil types.</t>
    </r>
  </si>
  <si>
    <t>Calculated PPV's are for the values of the attenuation exponent, n, shown at the left of each panel. Safe distances are guidelines based on the underlying standard limits. Distances less than the "safe distance" have greater, and rapidly increasing, probability of damage than those larger than the safe distance. At least a 2x "safety factor" should be applied to the results of the calculations to account for limitations in the data and calculation method.</t>
  </si>
  <si>
    <r>
      <t>To use</t>
    </r>
    <r>
      <rPr>
        <sz val="10"/>
        <rFont val="Arial"/>
        <family val="0"/>
      </rPr>
      <t xml:space="preserve">: Type in your desired values for each parameter. All are required. Standard parameter values are shown column titles in </t>
    </r>
    <r>
      <rPr>
        <b/>
        <i/>
        <sz val="10"/>
        <rFont val="Arial"/>
        <family val="2"/>
      </rPr>
      <t>bold italic.</t>
    </r>
    <r>
      <rPr>
        <sz val="10"/>
        <rFont val="Arial"/>
        <family val="2"/>
      </rPr>
      <t xml:space="preserve"> It is recommended that you use the standard values unless you have specific need to change them. Additional parameter combinations may be entered in gray cells, but variations in parameters will only be calculated for first data row.You can separately choose metric or U.S. units for each data row calculation. Sheet will recalculate automatically as you change values. The variations area, below the data entry area, shows the results of varying one parameter in the first data row, leaving the others constant. Cells in which you should not input or change information are locked. Values in U.S. units appear in </t>
    </r>
    <r>
      <rPr>
        <b/>
        <i/>
        <sz val="10"/>
        <color indexed="12"/>
        <rFont val="Arial"/>
        <family val="2"/>
      </rPr>
      <t>blue</t>
    </r>
    <r>
      <rPr>
        <sz val="10"/>
        <rFont val="Arial"/>
        <family val="2"/>
      </rPr>
      <t xml:space="preserve">; those in metric units appear in </t>
    </r>
    <r>
      <rPr>
        <b/>
        <i/>
        <sz val="10"/>
        <color indexed="17"/>
        <rFont val="Arial"/>
        <family val="2"/>
      </rPr>
      <t>green</t>
    </r>
    <r>
      <rPr>
        <sz val="10"/>
        <rFont val="Arial"/>
        <family val="2"/>
      </rPr>
      <t xml:space="preserve">. Results or parameters which exceed U.S. OSM limits will appear in </t>
    </r>
    <r>
      <rPr>
        <b/>
        <i/>
        <sz val="10"/>
        <color indexed="10"/>
        <rFont val="Arial"/>
        <family val="2"/>
      </rPr>
      <t>bold italic</t>
    </r>
    <r>
      <rPr>
        <sz val="10"/>
        <rFont val="Arial"/>
        <family val="2"/>
      </rPr>
      <t xml:space="preserve">. See the Reference section for these limits. </t>
    </r>
    <r>
      <rPr>
        <b/>
        <sz val="10"/>
        <rFont val="Arial"/>
        <family val="2"/>
      </rPr>
      <t>PPV results should be applyed with at least a 2x safety factor, to take into account limitations of the calculation approach and accuracy. When blasting vibration monitoring is done, the measured PPV 's should be the determinant of charge weights, not these calculated estimates.</t>
    </r>
  </si>
  <si>
    <t>Calculation Results</t>
  </si>
  <si>
    <r>
      <t>Maximum charge weight allowed w/o monitoring (per U.S. OSM SD limits) (</t>
    </r>
    <r>
      <rPr>
        <b/>
        <sz val="12"/>
        <color indexed="12"/>
        <rFont val="Arial"/>
        <family val="2"/>
      </rPr>
      <t>lb</t>
    </r>
    <r>
      <rPr>
        <b/>
        <sz val="12"/>
        <rFont val="Arial"/>
        <family val="2"/>
      </rPr>
      <t xml:space="preserve"> or </t>
    </r>
    <r>
      <rPr>
        <b/>
        <sz val="12"/>
        <color indexed="17"/>
        <rFont val="Arial"/>
        <family val="2"/>
      </rPr>
      <t>kg</t>
    </r>
    <r>
      <rPr>
        <b/>
        <sz val="12"/>
        <rFont val="Arial"/>
        <family val="2"/>
      </rPr>
      <t>)</t>
    </r>
  </si>
  <si>
    <r>
      <t>Maximum charge weight allowed w/ monitoring (per U.S. OSM PPV limits) (</t>
    </r>
    <r>
      <rPr>
        <b/>
        <sz val="12"/>
        <color indexed="12"/>
        <rFont val="Arial"/>
        <family val="2"/>
      </rPr>
      <t>lb</t>
    </r>
    <r>
      <rPr>
        <b/>
        <sz val="12"/>
        <rFont val="Arial"/>
        <family val="2"/>
      </rPr>
      <t xml:space="preserve"> or </t>
    </r>
    <r>
      <rPr>
        <b/>
        <sz val="12"/>
        <color indexed="17"/>
        <rFont val="Arial"/>
        <family val="2"/>
      </rPr>
      <t>kg</t>
    </r>
    <r>
      <rPr>
        <b/>
        <sz val="12"/>
        <rFont val="Arial"/>
        <family val="2"/>
      </rPr>
      <t>)</t>
    </r>
  </si>
  <si>
    <r>
      <t>Minimum vibration safe distance (based on U.S. OSM PPV limits w/ monitoring) (</t>
    </r>
    <r>
      <rPr>
        <b/>
        <sz val="12"/>
        <color indexed="12"/>
        <rFont val="Arial"/>
        <family val="2"/>
      </rPr>
      <t>ft</t>
    </r>
    <r>
      <rPr>
        <b/>
        <sz val="12"/>
        <rFont val="Arial"/>
        <family val="0"/>
      </rPr>
      <t xml:space="preserve">. or </t>
    </r>
    <r>
      <rPr>
        <b/>
        <sz val="12"/>
        <color indexed="17"/>
        <rFont val="Arial"/>
        <family val="2"/>
      </rPr>
      <t>m</t>
    </r>
    <r>
      <rPr>
        <b/>
        <sz val="12"/>
        <rFont val="Arial"/>
        <family val="0"/>
      </rPr>
      <t>)</t>
    </r>
  </si>
  <si>
    <r>
      <t>Attenuation exponent b</t>
    </r>
    <r>
      <rPr>
        <i/>
        <sz val="12"/>
        <rFont val="Arial"/>
        <family val="2"/>
      </rPr>
      <t xml:space="preserve"> (typically </t>
    </r>
    <r>
      <rPr>
        <b/>
        <i/>
        <sz val="12"/>
        <rFont val="Arial"/>
        <family val="2"/>
      </rPr>
      <t>1.6</t>
    </r>
    <r>
      <rPr>
        <sz val="12"/>
        <rFont val="Arial"/>
        <family val="2"/>
      </rPr>
      <t>; range from about 0.6 to 2.5</t>
    </r>
    <r>
      <rPr>
        <i/>
        <sz val="12"/>
        <rFont val="Arial"/>
        <family val="2"/>
      </rPr>
      <t>)</t>
    </r>
  </si>
  <si>
    <r>
      <t xml:space="preserve">Peak particle velocity, PPV </t>
    </r>
    <r>
      <rPr>
        <b/>
        <sz val="14"/>
        <color indexed="12"/>
        <rFont val="Arial"/>
        <family val="2"/>
      </rPr>
      <t>(in/sec</t>
    </r>
    <r>
      <rPr>
        <b/>
        <sz val="14"/>
        <rFont val="Arial"/>
        <family val="2"/>
      </rPr>
      <t xml:space="preserve"> or </t>
    </r>
    <r>
      <rPr>
        <b/>
        <sz val="14"/>
        <color indexed="17"/>
        <rFont val="Arial"/>
        <family val="2"/>
      </rPr>
      <t>mm/sec</t>
    </r>
    <r>
      <rPr>
        <b/>
        <sz val="14"/>
        <rFont val="Arial"/>
        <family val="2"/>
      </rPr>
      <t>)</t>
    </r>
  </si>
  <si>
    <t>Blasting Damage Probability Calculator</t>
  </si>
  <si>
    <t>Threshold damage probability, %</t>
  </si>
  <si>
    <t>Minor damage probability, %</t>
  </si>
  <si>
    <t>Major damage probability, %</t>
  </si>
  <si>
    <t>Sum</t>
  </si>
  <si>
    <t>Copyright John M. Zeigler 2022 All rights reserved</t>
  </si>
  <si>
    <r>
      <t xml:space="preserve">Peak Particle Velocity (PPV, </t>
    </r>
    <r>
      <rPr>
        <b/>
        <sz val="12"/>
        <color indexed="17"/>
        <rFont val="Arial"/>
        <family val="2"/>
      </rPr>
      <t>mm/sec</t>
    </r>
    <r>
      <rPr>
        <b/>
        <sz val="12"/>
        <rFont val="Arial"/>
        <family val="2"/>
      </rPr>
      <t xml:space="preserve"> or </t>
    </r>
    <r>
      <rPr>
        <b/>
        <sz val="12"/>
        <color indexed="12"/>
        <rFont val="Arial"/>
        <family val="2"/>
      </rPr>
      <t>in/sec</t>
    </r>
    <r>
      <rPr>
        <b/>
        <sz val="12"/>
        <rFont val="Arial"/>
        <family val="2"/>
      </rPr>
      <t>)</t>
    </r>
  </si>
  <si>
    <t>Calculated Approximate Blasting Damage Probabilities by PPV (per blast, % homes damaged, by damage type)</t>
  </si>
  <si>
    <r>
      <t>About</t>
    </r>
    <r>
      <rPr>
        <sz val="10"/>
        <rFont val="Arial"/>
        <family val="0"/>
      </rPr>
      <t xml:space="preserve">: This calculator is intended for estimating total damage probabilities in the common situation where homes experience more than one blast, with differing ground vibration velocities for each blast. The probability calculations are based on the best fit lines from USBM RI 8507, set 7 log normal probability data, p. 58, Figure 59. Damage probabilities at the lowest and highest vibration velocities deviate from log normal behavior, with actual damage probabilities being lower than calculated below 5% probability and higher than calculated above 95% probability.  For this reason, </t>
    </r>
    <r>
      <rPr>
        <b/>
        <sz val="10"/>
        <rFont val="Arial"/>
        <family val="2"/>
      </rPr>
      <t xml:space="preserve">calculated values less than 0.5% or over 95% probability are indicated in </t>
    </r>
    <r>
      <rPr>
        <b/>
        <i/>
        <sz val="10"/>
        <rFont val="Arial"/>
        <family val="2"/>
      </rPr>
      <t>black bold italic</t>
    </r>
    <r>
      <rPr>
        <sz val="10"/>
        <rFont val="Arial"/>
        <family val="0"/>
      </rPr>
      <t xml:space="preserve">. The 95% confidence value for the calculated percentages relative to the best fit line is ±4% absolute. Most of the calculated values are within 2% absolute of the line. The summed percentages assume that each blast is statistically independent from one another. This may not be true for homes already damaged by blasting vibration, whose probability of damage increases more rapidly with each subsequent blast, due to lessening of structural stiffness with damage. </t>
    </r>
  </si>
  <si>
    <r>
      <t>Note</t>
    </r>
    <r>
      <rPr>
        <sz val="10"/>
        <rFont val="Arial"/>
        <family val="0"/>
      </rPr>
      <t xml:space="preserve">: </t>
    </r>
    <r>
      <rPr>
        <b/>
        <sz val="10"/>
        <rFont val="Arial"/>
        <family val="2"/>
      </rPr>
      <t>This tool should only be used for blasting vibrations in mining and construction</t>
    </r>
    <r>
      <rPr>
        <sz val="10"/>
        <rFont val="Arial"/>
        <family val="0"/>
      </rPr>
      <t>; damage probabilities are higher for construction heavy equipment-caused vibration of the same PPV. The tenth percent precision shown is not significant, but is provided to allow low probabilities below 1% to appear.</t>
    </r>
  </si>
  <si>
    <r>
      <t xml:space="preserve">To use: </t>
    </r>
    <r>
      <rPr>
        <sz val="10"/>
        <rFont val="Arial"/>
        <family val="2"/>
      </rPr>
      <t>Choose units for calculation; then enter PPV in those units. You can mix units on different calculator lines. To clear inputs, simply select them, then press the Delete key (not the Delete function or the Clear function). You can only input data in the cells with white backgrounds within the Calculator. The calculator will provide an estimated probability of the percentage of homes damaged by a blast vibration of that PPV. Probability estimates are provided for "Threshold", "Minor" and "Major" damage levels as defined in USBM RI 8507, p. 49. For multiple blasts of different PPV's at the site of interest, the calculator will provide the individual estimated probabilities and the sum of those probabilities for all the PPV measurements entered. See below calculator for more information.</t>
    </r>
  </si>
  <si>
    <t>Optional Calculation Identifier or Notes (user editable)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</si>
</sst>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
    <numFmt numFmtId="171" formatCode="0.000"/>
    <numFmt numFmtId="172" formatCode="0.0%"/>
  </numFmts>
  <fonts count="72">
    <font>
      <sz val="10"/>
      <name val="Arial"/>
      <family val="0"/>
    </font>
    <font>
      <sz val="8"/>
      <name val="Arial"/>
      <family val="0"/>
    </font>
    <font>
      <b/>
      <sz val="10"/>
      <name val="Arial"/>
      <family val="0"/>
    </font>
    <font>
      <b/>
      <sz val="14"/>
      <name val="Arial"/>
      <family val="0"/>
    </font>
    <font>
      <sz val="10"/>
      <color indexed="8"/>
      <name val="Trebuchet MS"/>
      <family val="2"/>
    </font>
    <font>
      <b/>
      <i/>
      <sz val="10"/>
      <name val="Arial"/>
      <family val="0"/>
    </font>
    <font>
      <i/>
      <sz val="10"/>
      <color indexed="8"/>
      <name val="Trebuchet MS"/>
      <family val="2"/>
    </font>
    <font>
      <i/>
      <vertAlign val="subscript"/>
      <sz val="10"/>
      <color indexed="8"/>
      <name val="Trebuchet MS"/>
      <family val="2"/>
    </font>
    <font>
      <i/>
      <vertAlign val="superscript"/>
      <sz val="10"/>
      <color indexed="8"/>
      <name val="Trebuchet MS"/>
      <family val="2"/>
    </font>
    <font>
      <b/>
      <sz val="14"/>
      <color indexed="57"/>
      <name val="Arial"/>
      <family val="0"/>
    </font>
    <font>
      <b/>
      <sz val="9"/>
      <color indexed="57"/>
      <name val="Arial"/>
      <family val="0"/>
    </font>
    <font>
      <b/>
      <sz val="18"/>
      <color indexed="48"/>
      <name val="Arial"/>
      <family val="0"/>
    </font>
    <font>
      <b/>
      <sz val="18"/>
      <color indexed="57"/>
      <name val="Arial"/>
      <family val="0"/>
    </font>
    <font>
      <b/>
      <sz val="12"/>
      <name val="Arial"/>
      <family val="0"/>
    </font>
    <font>
      <u val="single"/>
      <sz val="10"/>
      <color indexed="12"/>
      <name val="Arial"/>
      <family val="0"/>
    </font>
    <font>
      <u val="single"/>
      <sz val="10"/>
      <color indexed="36"/>
      <name val="Arial"/>
      <family val="0"/>
    </font>
    <font>
      <u val="single"/>
      <sz val="12"/>
      <color indexed="12"/>
      <name val="Arial"/>
      <family val="0"/>
    </font>
    <font>
      <b/>
      <sz val="9"/>
      <color indexed="48"/>
      <name val="Arial"/>
      <family val="0"/>
    </font>
    <font>
      <i/>
      <sz val="10"/>
      <name val="Arial"/>
      <family val="0"/>
    </font>
    <font>
      <b/>
      <i/>
      <sz val="10"/>
      <color indexed="48"/>
      <name val="Arial"/>
      <family val="0"/>
    </font>
    <font>
      <b/>
      <sz val="10"/>
      <color indexed="48"/>
      <name val="Arial"/>
      <family val="0"/>
    </font>
    <font>
      <b/>
      <i/>
      <sz val="10"/>
      <color indexed="57"/>
      <name val="Arial"/>
      <family val="0"/>
    </font>
    <font>
      <b/>
      <sz val="10"/>
      <color indexed="57"/>
      <name val="Arial"/>
      <family val="0"/>
    </font>
    <font>
      <i/>
      <sz val="10"/>
      <color indexed="8"/>
      <name val="Times New Roman"/>
      <family val="1"/>
    </font>
    <font>
      <b/>
      <vertAlign val="subscript"/>
      <sz val="12"/>
      <name val="Arial"/>
      <family val="2"/>
    </font>
    <font>
      <b/>
      <sz val="12"/>
      <color indexed="8"/>
      <name val="Arial"/>
      <family val="2"/>
    </font>
    <font>
      <b/>
      <sz val="48"/>
      <color indexed="48"/>
      <name val="Arial"/>
      <family val="2"/>
    </font>
    <font>
      <b/>
      <sz val="48"/>
      <color indexed="57"/>
      <name val="Arial"/>
      <family val="0"/>
    </font>
    <font>
      <b/>
      <i/>
      <sz val="10"/>
      <color indexed="10"/>
      <name val="Arial"/>
      <family val="0"/>
    </font>
    <font>
      <sz val="10"/>
      <color indexed="48"/>
      <name val="Arial"/>
      <family val="0"/>
    </font>
    <font>
      <sz val="10"/>
      <color indexed="57"/>
      <name val="Arial"/>
      <family val="0"/>
    </font>
    <font>
      <i/>
      <sz val="10"/>
      <name val="Trebuchet MS"/>
      <family val="2"/>
    </font>
    <font>
      <b/>
      <sz val="14"/>
      <color indexed="48"/>
      <name val="Arial"/>
      <family val="0"/>
    </font>
    <font>
      <b/>
      <sz val="9"/>
      <name val="Arial"/>
      <family val="0"/>
    </font>
    <font>
      <sz val="9"/>
      <name val="Arial"/>
      <family val="0"/>
    </font>
    <font>
      <i/>
      <sz val="10"/>
      <color indexed="48"/>
      <name val="Arial"/>
      <family val="0"/>
    </font>
    <font>
      <i/>
      <sz val="10"/>
      <color indexed="57"/>
      <name val="Arial"/>
      <family val="0"/>
    </font>
    <font>
      <b/>
      <i/>
      <sz val="18"/>
      <color indexed="40"/>
      <name val="Arial"/>
      <family val="0"/>
    </font>
    <font>
      <b/>
      <i/>
      <sz val="18"/>
      <color indexed="50"/>
      <name val="Arial"/>
      <family val="0"/>
    </font>
    <font>
      <b/>
      <sz val="10"/>
      <color indexed="8"/>
      <name val="Trebuchet MS"/>
      <family val="2"/>
    </font>
    <font>
      <b/>
      <sz val="7.5"/>
      <color indexed="8"/>
      <name val="Trebuchet MS"/>
      <family val="2"/>
    </font>
    <font>
      <b/>
      <vertAlign val="subscript"/>
      <sz val="10"/>
      <color indexed="8"/>
      <name val="Trebuchet MS"/>
      <family val="2"/>
    </font>
    <font>
      <b/>
      <i/>
      <sz val="10"/>
      <color indexed="40"/>
      <name val="Arial"/>
      <family val="0"/>
    </font>
    <font>
      <b/>
      <i/>
      <sz val="10"/>
      <color indexed="50"/>
      <name val="Arial"/>
      <family val="0"/>
    </font>
    <font>
      <b/>
      <vertAlign val="superscript"/>
      <sz val="14"/>
      <name val="Arial"/>
      <family val="2"/>
    </font>
    <font>
      <i/>
      <sz val="14"/>
      <name val="Arial"/>
      <family val="2"/>
    </font>
    <font>
      <sz val="12"/>
      <name val="Arial"/>
      <family val="2"/>
    </font>
    <font>
      <b/>
      <i/>
      <sz val="14"/>
      <name val="Arial"/>
      <family val="0"/>
    </font>
    <font>
      <b/>
      <i/>
      <sz val="12"/>
      <name val="Arial"/>
      <family val="2"/>
    </font>
    <font>
      <i/>
      <sz val="12"/>
      <name val="Arial"/>
      <family val="2"/>
    </font>
    <font>
      <b/>
      <sz val="9"/>
      <name val="Trebuchet MS"/>
      <family val="2"/>
    </font>
    <font>
      <b/>
      <u val="single"/>
      <sz val="10"/>
      <color indexed="12"/>
      <name val="Arial"/>
      <family val="2"/>
    </font>
    <font>
      <b/>
      <sz val="14"/>
      <color indexed="12"/>
      <name val="Arial"/>
      <family val="2"/>
    </font>
    <font>
      <b/>
      <sz val="14"/>
      <color indexed="17"/>
      <name val="Arial"/>
      <family val="2"/>
    </font>
    <font>
      <b/>
      <sz val="12"/>
      <color indexed="12"/>
      <name val="Arial"/>
      <family val="2"/>
    </font>
    <font>
      <b/>
      <i/>
      <sz val="12"/>
      <color indexed="12"/>
      <name val="Arial"/>
      <family val="2"/>
    </font>
    <font>
      <sz val="12"/>
      <color indexed="12"/>
      <name val="Arial"/>
      <family val="2"/>
    </font>
    <font>
      <b/>
      <sz val="12"/>
      <color indexed="17"/>
      <name val="Arial"/>
      <family val="2"/>
    </font>
    <font>
      <b/>
      <i/>
      <sz val="12"/>
      <color indexed="17"/>
      <name val="Arial"/>
      <family val="2"/>
    </font>
    <font>
      <sz val="12"/>
      <color indexed="17"/>
      <name val="Arial"/>
      <family val="2"/>
    </font>
    <font>
      <b/>
      <i/>
      <sz val="10"/>
      <color indexed="8"/>
      <name val="Trebuchet MS"/>
      <family val="2"/>
    </font>
    <font>
      <u val="single"/>
      <vertAlign val="subscript"/>
      <sz val="10"/>
      <color indexed="12"/>
      <name val="Arial"/>
      <family val="2"/>
    </font>
    <font>
      <b/>
      <i/>
      <sz val="10"/>
      <color indexed="12"/>
      <name val="Arial"/>
      <family val="2"/>
    </font>
    <font>
      <b/>
      <i/>
      <sz val="10"/>
      <color indexed="17"/>
      <name val="Arial"/>
      <family val="2"/>
    </font>
    <font>
      <b/>
      <sz val="8"/>
      <color indexed="53"/>
      <name val="Arial"/>
      <family val="2"/>
    </font>
    <font>
      <b/>
      <sz val="12"/>
      <color indexed="51"/>
      <name val="Arial"/>
      <family val="2"/>
    </font>
    <font>
      <b/>
      <i/>
      <sz val="12"/>
      <color indexed="51"/>
      <name val="Arial"/>
      <family val="0"/>
    </font>
    <font>
      <b/>
      <i/>
      <sz val="12"/>
      <color indexed="53"/>
      <name val="Arial"/>
      <family val="0"/>
    </font>
    <font>
      <b/>
      <i/>
      <sz val="12"/>
      <color indexed="10"/>
      <name val="Arial"/>
      <family val="0"/>
    </font>
    <font>
      <b/>
      <sz val="9"/>
      <color indexed="12"/>
      <name val="Arial"/>
      <family val="2"/>
    </font>
    <font>
      <i/>
      <sz val="9"/>
      <color indexed="12"/>
      <name val="Arial"/>
      <family val="0"/>
    </font>
    <font>
      <i/>
      <sz val="9"/>
      <color indexed="57"/>
      <name val="Arial"/>
      <family val="2"/>
    </font>
  </fonts>
  <fills count="1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8"/>
        <bgColor indexed="64"/>
      </patternFill>
    </fill>
    <fill>
      <patternFill patternType="solid">
        <fgColor indexed="47"/>
        <bgColor indexed="64"/>
      </patternFill>
    </fill>
    <fill>
      <patternFill patternType="solid">
        <fgColor indexed="35"/>
        <bgColor indexed="64"/>
      </patternFill>
    </fill>
    <fill>
      <patternFill patternType="solid">
        <fgColor indexed="53"/>
        <bgColor indexed="64"/>
      </patternFill>
    </fill>
    <fill>
      <patternFill patternType="solid">
        <fgColor indexed="24"/>
        <bgColor indexed="64"/>
      </patternFill>
    </fill>
    <fill>
      <patternFill patternType="solid">
        <fgColor indexed="43"/>
        <bgColor indexed="64"/>
      </patternFill>
    </fill>
    <fill>
      <patternFill patternType="solid">
        <fgColor indexed="49"/>
        <bgColor indexed="64"/>
      </patternFill>
    </fill>
    <fill>
      <patternFill patternType="solid">
        <fgColor indexed="50"/>
        <bgColor indexed="64"/>
      </patternFill>
    </fill>
    <fill>
      <patternFill patternType="solid">
        <fgColor indexed="15"/>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s>
  <borders count="200">
    <border>
      <left/>
      <right/>
      <top/>
      <bottom/>
      <diagonal/>
    </border>
    <border>
      <left style="medium">
        <color indexed="48"/>
      </left>
      <right>
        <color indexed="63"/>
      </right>
      <top>
        <color indexed="63"/>
      </top>
      <bottom>
        <color indexed="63"/>
      </bottom>
    </border>
    <border>
      <left style="medium">
        <color indexed="57"/>
      </left>
      <right>
        <color indexed="63"/>
      </right>
      <top>
        <color indexed="63"/>
      </top>
      <bottom>
        <color indexed="63"/>
      </bottom>
    </border>
    <border>
      <left style="medium">
        <color indexed="18"/>
      </left>
      <right>
        <color indexed="63"/>
      </right>
      <top>
        <color indexed="63"/>
      </top>
      <bottom>
        <color indexed="63"/>
      </bottom>
    </border>
    <border>
      <left style="medium">
        <color indexed="47"/>
      </left>
      <right>
        <color indexed="63"/>
      </right>
      <top style="medium">
        <color indexed="47"/>
      </top>
      <bottom>
        <color indexed="63"/>
      </bottom>
    </border>
    <border>
      <left>
        <color indexed="63"/>
      </left>
      <right>
        <color indexed="63"/>
      </right>
      <top style="medium">
        <color indexed="47"/>
      </top>
      <bottom>
        <color indexed="63"/>
      </bottom>
    </border>
    <border>
      <left style="medium">
        <color indexed="47"/>
      </left>
      <right>
        <color indexed="63"/>
      </right>
      <top>
        <color indexed="63"/>
      </top>
      <bottom>
        <color indexed="63"/>
      </bottom>
    </border>
    <border>
      <left style="medium">
        <color indexed="47"/>
      </left>
      <right>
        <color indexed="63"/>
      </right>
      <top>
        <color indexed="63"/>
      </top>
      <bottom style="medium">
        <color indexed="47"/>
      </bottom>
    </border>
    <border>
      <left>
        <color indexed="63"/>
      </left>
      <right>
        <color indexed="63"/>
      </right>
      <top>
        <color indexed="63"/>
      </top>
      <bottom style="medium">
        <color indexed="47"/>
      </bottom>
    </border>
    <border>
      <left>
        <color indexed="63"/>
      </left>
      <right>
        <color indexed="63"/>
      </right>
      <top style="medium">
        <color indexed="51"/>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color indexed="63"/>
      </right>
      <top>
        <color indexed="63"/>
      </top>
      <bottom style="medium">
        <color indexed="51"/>
      </bottom>
    </border>
    <border>
      <left style="medium">
        <color indexed="18"/>
      </left>
      <right>
        <color indexed="63"/>
      </right>
      <top style="medium">
        <color indexed="18"/>
      </top>
      <bottom>
        <color indexed="63"/>
      </bottom>
    </border>
    <border>
      <left>
        <color indexed="63"/>
      </left>
      <right>
        <color indexed="63"/>
      </right>
      <top>
        <color indexed="63"/>
      </top>
      <bottom style="medium">
        <color indexed="18"/>
      </bottom>
    </border>
    <border>
      <left>
        <color indexed="63"/>
      </left>
      <right style="medium">
        <color indexed="18"/>
      </right>
      <top>
        <color indexed="63"/>
      </top>
      <bottom>
        <color indexed="63"/>
      </bottom>
    </border>
    <border>
      <left>
        <color indexed="63"/>
      </left>
      <right style="medium">
        <color indexed="47"/>
      </right>
      <top style="medium">
        <color indexed="47"/>
      </top>
      <bottom>
        <color indexed="63"/>
      </bottom>
    </border>
    <border>
      <left>
        <color indexed="63"/>
      </left>
      <right style="medium">
        <color indexed="51"/>
      </right>
      <top style="medium">
        <color indexed="51"/>
      </top>
      <bottom>
        <color indexed="63"/>
      </bottom>
    </border>
    <border>
      <left style="medium"/>
      <right>
        <color indexed="63"/>
      </right>
      <top style="medium"/>
      <bottom style="medium"/>
    </border>
    <border>
      <left>
        <color indexed="63"/>
      </left>
      <right style="medium"/>
      <top style="medium"/>
      <bottom style="medium"/>
    </border>
    <border>
      <left style="thick">
        <color indexed="48"/>
      </left>
      <right style="thick">
        <color indexed="48"/>
      </right>
      <top style="thick">
        <color indexed="48"/>
      </top>
      <bottom style="thick">
        <color indexed="48"/>
      </bottom>
    </border>
    <border>
      <left style="thick">
        <color indexed="57"/>
      </left>
      <right style="thick">
        <color indexed="57"/>
      </right>
      <top style="thick">
        <color indexed="57"/>
      </top>
      <bottom style="thick">
        <color indexed="57"/>
      </bottom>
    </border>
    <border>
      <left>
        <color indexed="63"/>
      </left>
      <right style="thin"/>
      <top>
        <color indexed="63"/>
      </top>
      <bottom>
        <color indexed="63"/>
      </bottom>
    </border>
    <border>
      <left>
        <color indexed="63"/>
      </left>
      <right>
        <color indexed="63"/>
      </right>
      <top style="medium">
        <color indexed="51"/>
      </top>
      <bottom style="medium">
        <color indexed="51"/>
      </bottom>
    </border>
    <border>
      <left>
        <color indexed="63"/>
      </left>
      <right style="thin"/>
      <top style="medium">
        <color indexed="51"/>
      </top>
      <bottom style="medium">
        <color indexed="51"/>
      </bottom>
    </border>
    <border>
      <left>
        <color indexed="63"/>
      </left>
      <right>
        <color indexed="63"/>
      </right>
      <top style="medium">
        <color indexed="47"/>
      </top>
      <bottom style="medium">
        <color indexed="47"/>
      </bottom>
    </border>
    <border>
      <left>
        <color indexed="63"/>
      </left>
      <right style="thin"/>
      <top style="medium">
        <color indexed="47"/>
      </top>
      <bottom style="medium">
        <color indexed="47"/>
      </bottom>
    </border>
    <border>
      <left>
        <color indexed="63"/>
      </left>
      <right style="medium">
        <color indexed="47"/>
      </right>
      <top>
        <color indexed="63"/>
      </top>
      <bottom>
        <color indexed="63"/>
      </bottom>
    </border>
    <border>
      <left>
        <color indexed="63"/>
      </left>
      <right style="medium">
        <color indexed="47"/>
      </right>
      <top>
        <color indexed="63"/>
      </top>
      <bottom style="medium">
        <color indexed="47"/>
      </bottom>
    </border>
    <border>
      <left>
        <color indexed="63"/>
      </left>
      <right style="medium">
        <color indexed="51"/>
      </right>
      <top>
        <color indexed="63"/>
      </top>
      <bottom>
        <color indexed="63"/>
      </bottom>
    </border>
    <border>
      <left>
        <color indexed="63"/>
      </left>
      <right style="medium">
        <color indexed="51"/>
      </right>
      <top>
        <color indexed="63"/>
      </top>
      <bottom style="medium">
        <color indexed="51"/>
      </bottom>
    </border>
    <border>
      <left>
        <color indexed="63"/>
      </left>
      <right style="medium">
        <color indexed="18"/>
      </right>
      <top>
        <color indexed="63"/>
      </top>
      <bottom style="medium">
        <color indexed="18"/>
      </bottom>
    </border>
    <border>
      <left>
        <color indexed="63"/>
      </left>
      <right style="medium">
        <color indexed="53"/>
      </right>
      <top>
        <color indexed="63"/>
      </top>
      <bottom>
        <color indexed="63"/>
      </bottom>
    </border>
    <border>
      <left style="medium">
        <color indexed="53"/>
      </left>
      <right>
        <color indexed="63"/>
      </right>
      <top style="medium">
        <color indexed="53"/>
      </top>
      <bottom>
        <color indexed="63"/>
      </bottom>
    </border>
    <border>
      <left>
        <color indexed="63"/>
      </left>
      <right>
        <color indexed="63"/>
      </right>
      <top style="medium">
        <color indexed="53"/>
      </top>
      <bottom>
        <color indexed="63"/>
      </bottom>
    </border>
    <border>
      <left>
        <color indexed="63"/>
      </left>
      <right style="medium">
        <color indexed="53"/>
      </right>
      <top style="medium">
        <color indexed="53"/>
      </top>
      <bottom>
        <color indexed="63"/>
      </bottom>
    </border>
    <border>
      <left style="medium">
        <color indexed="53"/>
      </left>
      <right>
        <color indexed="63"/>
      </right>
      <top>
        <color indexed="63"/>
      </top>
      <bottom>
        <color indexed="63"/>
      </bottom>
    </border>
    <border>
      <left>
        <color indexed="63"/>
      </left>
      <right>
        <color indexed="63"/>
      </right>
      <top>
        <color indexed="63"/>
      </top>
      <bottom style="medium">
        <color indexed="53"/>
      </bottom>
    </border>
    <border>
      <left>
        <color indexed="63"/>
      </left>
      <right style="medium">
        <color indexed="53"/>
      </right>
      <top>
        <color indexed="63"/>
      </top>
      <bottom style="medium">
        <color indexed="53"/>
      </bottom>
    </border>
    <border>
      <left>
        <color indexed="63"/>
      </left>
      <right>
        <color indexed="63"/>
      </right>
      <top style="medium">
        <color indexed="48"/>
      </top>
      <bottom>
        <color indexed="63"/>
      </bottom>
    </border>
    <border>
      <left>
        <color indexed="63"/>
      </left>
      <right>
        <color indexed="63"/>
      </right>
      <top style="medium">
        <color indexed="57"/>
      </top>
      <bottom>
        <color indexed="63"/>
      </bottom>
    </border>
    <border>
      <left style="medium">
        <color indexed="48"/>
      </left>
      <right>
        <color indexed="63"/>
      </right>
      <top>
        <color indexed="63"/>
      </top>
      <bottom style="thin">
        <color indexed="48"/>
      </bottom>
    </border>
    <border>
      <left>
        <color indexed="63"/>
      </left>
      <right>
        <color indexed="63"/>
      </right>
      <top>
        <color indexed="63"/>
      </top>
      <bottom style="thin">
        <color indexed="48"/>
      </bottom>
    </border>
    <border>
      <left style="medium">
        <color indexed="57"/>
      </left>
      <right>
        <color indexed="63"/>
      </right>
      <top>
        <color indexed="63"/>
      </top>
      <bottom style="thin">
        <color indexed="57"/>
      </bottom>
    </border>
    <border>
      <left>
        <color indexed="63"/>
      </left>
      <right>
        <color indexed="63"/>
      </right>
      <top>
        <color indexed="63"/>
      </top>
      <bottom style="thin">
        <color indexed="57"/>
      </bottom>
    </border>
    <border>
      <left style="medium">
        <color indexed="51"/>
      </left>
      <right>
        <color indexed="63"/>
      </right>
      <top style="medium">
        <color indexed="51"/>
      </top>
      <bottom>
        <color indexed="63"/>
      </bottom>
    </border>
    <border>
      <left style="medium">
        <color indexed="51"/>
      </left>
      <right>
        <color indexed="63"/>
      </right>
      <top>
        <color indexed="63"/>
      </top>
      <bottom>
        <color indexed="63"/>
      </bottom>
    </border>
    <border>
      <left style="medium">
        <color indexed="48"/>
      </left>
      <right>
        <color indexed="63"/>
      </right>
      <top style="medium">
        <color indexed="51"/>
      </top>
      <bottom style="medium">
        <color indexed="51"/>
      </bottom>
    </border>
    <border>
      <left style="medium">
        <color indexed="48"/>
      </left>
      <right>
        <color indexed="63"/>
      </right>
      <top style="medium">
        <color indexed="47"/>
      </top>
      <bottom style="medium">
        <color indexed="47"/>
      </bottom>
    </border>
    <border>
      <left style="medium">
        <color indexed="57"/>
      </left>
      <right style="medium">
        <color indexed="51"/>
      </right>
      <top style="medium">
        <color indexed="51"/>
      </top>
      <bottom style="medium">
        <color indexed="51"/>
      </bottom>
    </border>
    <border>
      <left style="medium">
        <color indexed="51"/>
      </left>
      <right>
        <color indexed="63"/>
      </right>
      <top style="medium">
        <color indexed="51"/>
      </top>
      <bottom style="medium">
        <color indexed="51"/>
      </bottom>
    </border>
    <border>
      <left style="medium">
        <color indexed="57"/>
      </left>
      <right>
        <color indexed="63"/>
      </right>
      <top style="medium">
        <color indexed="47"/>
      </top>
      <bottom style="medium">
        <color indexed="47"/>
      </bottom>
    </border>
    <border>
      <left style="mediumDashed">
        <color indexed="48"/>
      </left>
      <right style="medium">
        <color indexed="48"/>
      </right>
      <top>
        <color indexed="63"/>
      </top>
      <bottom>
        <color indexed="63"/>
      </bottom>
    </border>
    <border>
      <left style="mediumDashed">
        <color indexed="57"/>
      </left>
      <right style="medium">
        <color indexed="57"/>
      </right>
      <top>
        <color indexed="63"/>
      </top>
      <bottom>
        <color indexed="63"/>
      </bottom>
    </border>
    <border>
      <left style="mediumDashed">
        <color indexed="48"/>
      </left>
      <right style="medium">
        <color indexed="48"/>
      </right>
      <top style="mediumDashed">
        <color indexed="48"/>
      </top>
      <bottom style="thin">
        <color indexed="48"/>
      </bottom>
    </border>
    <border>
      <left style="mediumDashed">
        <color indexed="57"/>
      </left>
      <right style="medium">
        <color indexed="57"/>
      </right>
      <top style="mediumDashed">
        <color indexed="57"/>
      </top>
      <bottom style="thin">
        <color indexed="57"/>
      </bottom>
    </border>
    <border>
      <left style="medium">
        <color indexed="53"/>
      </left>
      <right>
        <color indexed="63"/>
      </right>
      <top>
        <color indexed="63"/>
      </top>
      <bottom style="medium">
        <color indexed="53"/>
      </bottom>
    </border>
    <border>
      <left style="mediumDashed">
        <color indexed="48"/>
      </left>
      <right style="medium">
        <color indexed="48"/>
      </right>
      <top style="medium">
        <color indexed="48"/>
      </top>
      <bottom>
        <color indexed="63"/>
      </bottom>
    </border>
    <border>
      <left style="mediumDashed">
        <color indexed="57"/>
      </left>
      <right style="medium">
        <color indexed="57"/>
      </right>
      <top style="medium">
        <color indexed="57"/>
      </top>
      <bottom>
        <color indexed="63"/>
      </bottom>
    </border>
    <border>
      <left style="mediumDashed">
        <color indexed="48"/>
      </left>
      <right style="medium">
        <color indexed="48"/>
      </right>
      <top style="mediumDashed">
        <color indexed="48"/>
      </top>
      <bottom style="mediumDashed">
        <color indexed="48"/>
      </bottom>
    </border>
    <border>
      <left style="mediumDashed">
        <color indexed="57"/>
      </left>
      <right style="medium">
        <color indexed="57"/>
      </right>
      <top style="mediumDashed">
        <color indexed="57"/>
      </top>
      <bottom style="mediumDashed">
        <color indexed="57"/>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20"/>
      </right>
      <top>
        <color indexed="63"/>
      </top>
      <bottom>
        <color indexed="63"/>
      </bottom>
    </border>
    <border>
      <left>
        <color indexed="63"/>
      </left>
      <right style="medium">
        <color indexed="12"/>
      </right>
      <top>
        <color indexed="63"/>
      </top>
      <bottom>
        <color indexed="63"/>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20"/>
      </left>
      <right>
        <color indexed="63"/>
      </right>
      <top>
        <color indexed="63"/>
      </top>
      <bottom>
        <color indexed="63"/>
      </bottom>
    </border>
    <border>
      <left style="medium">
        <color indexed="20"/>
      </left>
      <right>
        <color indexed="63"/>
      </right>
      <top style="medium">
        <color indexed="20"/>
      </top>
      <bottom>
        <color indexed="63"/>
      </bottom>
    </border>
    <border>
      <left>
        <color indexed="63"/>
      </left>
      <right>
        <color indexed="63"/>
      </right>
      <top style="medium">
        <color indexed="20"/>
      </top>
      <bottom>
        <color indexed="63"/>
      </bottom>
    </border>
    <border>
      <left>
        <color indexed="63"/>
      </left>
      <right style="medium">
        <color indexed="20"/>
      </right>
      <top style="medium">
        <color indexed="20"/>
      </top>
      <bottom>
        <color indexed="63"/>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Dashed">
        <color indexed="48"/>
      </left>
      <right>
        <color indexed="63"/>
      </right>
      <top style="mediumDashed">
        <color indexed="48"/>
      </top>
      <bottom style="medium">
        <color indexed="48"/>
      </bottom>
    </border>
    <border>
      <left>
        <color indexed="63"/>
      </left>
      <right>
        <color indexed="63"/>
      </right>
      <top style="mediumDashed">
        <color indexed="48"/>
      </top>
      <bottom style="medium">
        <color indexed="48"/>
      </bottom>
    </border>
    <border>
      <left style="mediumDashed">
        <color indexed="48"/>
      </left>
      <right style="medium">
        <color indexed="48"/>
      </right>
      <top style="mediumDashed">
        <color indexed="48"/>
      </top>
      <bottom style="medium">
        <color indexed="48"/>
      </bottom>
    </border>
    <border>
      <left style="mediumDashed">
        <color indexed="57"/>
      </left>
      <right>
        <color indexed="63"/>
      </right>
      <top style="mediumDashed">
        <color indexed="57"/>
      </top>
      <bottom style="medium">
        <color indexed="57"/>
      </bottom>
    </border>
    <border>
      <left>
        <color indexed="63"/>
      </left>
      <right>
        <color indexed="63"/>
      </right>
      <top style="mediumDashed">
        <color indexed="57"/>
      </top>
      <bottom style="medium">
        <color indexed="57"/>
      </bottom>
    </border>
    <border>
      <left style="mediumDashed">
        <color indexed="57"/>
      </left>
      <right style="medium">
        <color indexed="57"/>
      </right>
      <top style="mediumDashed">
        <color indexed="57"/>
      </top>
      <bottom style="medium">
        <color indexed="57"/>
      </bottom>
    </border>
    <border>
      <left style="medium">
        <color indexed="48"/>
      </left>
      <right style="mediumDashed">
        <color indexed="48"/>
      </right>
      <top style="mediumDashed">
        <color indexed="48"/>
      </top>
      <bottom style="medium">
        <color indexed="48"/>
      </bottom>
    </border>
    <border>
      <left style="medium">
        <color indexed="57"/>
      </left>
      <right style="mediumDashed">
        <color indexed="57"/>
      </right>
      <top style="mediumDashed">
        <color indexed="57"/>
      </top>
      <bottom style="medium">
        <color indexed="57"/>
      </bottom>
    </border>
    <border>
      <left>
        <color indexed="63"/>
      </left>
      <right>
        <color indexed="63"/>
      </right>
      <top>
        <color indexed="63"/>
      </top>
      <bottom style="thick"/>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48"/>
      </left>
      <right style="medium">
        <color indexed="57"/>
      </right>
      <top>
        <color indexed="63"/>
      </top>
      <bottom style="medium"/>
    </border>
    <border>
      <left style="medium">
        <color indexed="48"/>
      </left>
      <right style="medium">
        <color indexed="57"/>
      </right>
      <top style="medium"/>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medium">
        <color indexed="48"/>
      </left>
      <right>
        <color indexed="63"/>
      </right>
      <top style="medium">
        <color indexed="48"/>
      </top>
      <bottom>
        <color indexed="63"/>
      </bottom>
    </border>
    <border>
      <left style="medium">
        <color indexed="57"/>
      </left>
      <right>
        <color indexed="63"/>
      </right>
      <top style="medium">
        <color indexed="57"/>
      </top>
      <bottom>
        <color indexed="63"/>
      </bottom>
    </border>
    <border>
      <left style="medium">
        <color indexed="48"/>
      </left>
      <right style="thick">
        <color indexed="48"/>
      </right>
      <top style="thick">
        <color indexed="48"/>
      </top>
      <bottom style="thick">
        <color indexed="48"/>
      </bottom>
    </border>
    <border>
      <left style="thick">
        <color indexed="48"/>
      </left>
      <right>
        <color indexed="63"/>
      </right>
      <top>
        <color indexed="63"/>
      </top>
      <bottom style="thick">
        <color indexed="48"/>
      </bottom>
    </border>
    <border>
      <left style="medium">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style="thick">
        <color indexed="57"/>
      </left>
      <right>
        <color indexed="63"/>
      </right>
      <top>
        <color indexed="63"/>
      </top>
      <bottom style="thick">
        <color indexed="57"/>
      </bottom>
    </border>
    <border>
      <left style="medium"/>
      <right style="thick"/>
      <top style="medium"/>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color indexed="53"/>
      </bottom>
    </border>
    <border>
      <left>
        <color indexed="63"/>
      </left>
      <right style="medium">
        <color indexed="53"/>
      </right>
      <top>
        <color indexed="63"/>
      </top>
      <bottom style="thin">
        <color indexed="53"/>
      </bottom>
    </border>
    <border>
      <left style="medium">
        <color indexed="53"/>
      </left>
      <right style="medium">
        <color indexed="53"/>
      </right>
      <top>
        <color indexed="63"/>
      </top>
      <bottom style="thin">
        <color indexed="53"/>
      </bottom>
    </border>
    <border>
      <left style="medium">
        <color indexed="53"/>
      </left>
      <right style="medium">
        <color indexed="53"/>
      </right>
      <top>
        <color indexed="63"/>
      </top>
      <bottom>
        <color indexed="63"/>
      </bottom>
    </border>
    <border>
      <left style="medium">
        <color indexed="53"/>
      </left>
      <right style="medium">
        <color indexed="53"/>
      </right>
      <top>
        <color indexed="63"/>
      </top>
      <bottom style="medium">
        <color indexed="53"/>
      </bottom>
    </border>
    <border>
      <left style="medium">
        <color indexed="53"/>
      </left>
      <right style="medium">
        <color indexed="53"/>
      </right>
      <top style="medium">
        <color indexed="53"/>
      </top>
      <bottom style="medium">
        <color indexed="53"/>
      </bottom>
    </border>
    <border>
      <left>
        <color indexed="63"/>
      </left>
      <right>
        <color indexed="63"/>
      </right>
      <top style="medium">
        <color indexed="53"/>
      </top>
      <bottom style="medium">
        <color indexed="53"/>
      </bottom>
    </border>
    <border>
      <left>
        <color indexed="63"/>
      </left>
      <right style="medium">
        <color indexed="53"/>
      </right>
      <top style="medium">
        <color indexed="53"/>
      </top>
      <bottom style="medium">
        <color indexed="53"/>
      </bottom>
    </border>
    <border>
      <left style="thick"/>
      <right style="thick">
        <color indexed="47"/>
      </right>
      <top style="thick">
        <color indexed="47"/>
      </top>
      <bottom style="thick">
        <color indexed="47"/>
      </bottom>
    </border>
    <border>
      <left style="thick">
        <color indexed="47"/>
      </left>
      <right style="thin"/>
      <top style="thick">
        <color indexed="47"/>
      </top>
      <bottom style="medium"/>
    </border>
    <border>
      <left style="thin"/>
      <right>
        <color indexed="63"/>
      </right>
      <top style="thick">
        <color indexed="47"/>
      </top>
      <bottom style="medium"/>
    </border>
    <border>
      <left style="medium"/>
      <right style="thin"/>
      <top style="thick">
        <color indexed="47"/>
      </top>
      <bottom style="medium"/>
    </border>
    <border>
      <left style="thin"/>
      <right style="thick">
        <color indexed="47"/>
      </right>
      <top style="thick">
        <color indexed="47"/>
      </top>
      <bottom style="medium"/>
    </border>
    <border>
      <left style="thick">
        <color indexed="47"/>
      </left>
      <right style="thin"/>
      <top style="medium"/>
      <bottom style="medium"/>
    </border>
    <border>
      <left style="thin"/>
      <right style="thick">
        <color indexed="47"/>
      </right>
      <top style="medium"/>
      <bottom style="medium"/>
    </border>
    <border>
      <left style="thick">
        <color indexed="47"/>
      </left>
      <right>
        <color indexed="63"/>
      </right>
      <top>
        <color indexed="63"/>
      </top>
      <bottom>
        <color indexed="63"/>
      </bottom>
    </border>
    <border>
      <left>
        <color indexed="63"/>
      </left>
      <right style="thick">
        <color indexed="47"/>
      </right>
      <top>
        <color indexed="63"/>
      </top>
      <bottom style="medium"/>
    </border>
    <border>
      <left>
        <color indexed="63"/>
      </left>
      <right style="thick">
        <color indexed="47"/>
      </right>
      <top style="medium"/>
      <bottom style="medium"/>
    </border>
    <border>
      <left>
        <color indexed="63"/>
      </left>
      <right style="thick">
        <color indexed="47"/>
      </right>
      <top>
        <color indexed="63"/>
      </top>
      <bottom>
        <color indexed="63"/>
      </bottom>
    </border>
    <border>
      <left style="thick">
        <color indexed="47"/>
      </left>
      <right>
        <color indexed="63"/>
      </right>
      <top>
        <color indexed="63"/>
      </top>
      <bottom style="thick">
        <color indexed="47"/>
      </bottom>
    </border>
    <border>
      <left>
        <color indexed="63"/>
      </left>
      <right style="medium"/>
      <top>
        <color indexed="63"/>
      </top>
      <bottom style="thick">
        <color indexed="47"/>
      </bottom>
    </border>
    <border>
      <left style="medium"/>
      <right>
        <color indexed="63"/>
      </right>
      <top>
        <color indexed="63"/>
      </top>
      <bottom style="thick">
        <color indexed="47"/>
      </bottom>
    </border>
    <border>
      <left>
        <color indexed="63"/>
      </left>
      <right style="thick">
        <color indexed="47"/>
      </right>
      <top>
        <color indexed="63"/>
      </top>
      <bottom style="thick">
        <color indexed="47"/>
      </bottom>
    </border>
    <border>
      <left style="thick"/>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ck"/>
      <right style="thick"/>
      <top>
        <color indexed="63"/>
      </top>
      <bottom>
        <color indexed="63"/>
      </bottom>
    </border>
    <border>
      <left style="thick"/>
      <right>
        <color indexed="63"/>
      </right>
      <top>
        <color indexed="63"/>
      </top>
      <bottom>
        <color indexed="63"/>
      </bottom>
    </border>
    <border>
      <left>
        <color indexed="63"/>
      </left>
      <right>
        <color indexed="63"/>
      </right>
      <top style="medium"/>
      <bottom style="medium"/>
    </border>
    <border>
      <left style="medium">
        <color indexed="53"/>
      </left>
      <right style="medium">
        <color indexed="53"/>
      </right>
      <top style="thin">
        <color indexed="53"/>
      </top>
      <bottom>
        <color indexed="63"/>
      </bottom>
    </border>
    <border>
      <left style="medium">
        <color indexed="53"/>
      </left>
      <right style="medium">
        <color indexed="53"/>
      </right>
      <top style="thin">
        <color indexed="53"/>
      </top>
      <bottom style="medium">
        <color indexed="53"/>
      </bottom>
    </border>
    <border>
      <left style="medium"/>
      <right style="thick"/>
      <top>
        <color indexed="63"/>
      </top>
      <bottom>
        <color indexed="63"/>
      </bottom>
    </border>
    <border>
      <left style="thick">
        <color indexed="47"/>
      </left>
      <right style="thick">
        <color indexed="47"/>
      </right>
      <top style="thick">
        <color indexed="47"/>
      </top>
      <bottom style="thick">
        <color indexed="47"/>
      </bottom>
    </border>
    <border>
      <left style="thick">
        <color indexed="47"/>
      </left>
      <right>
        <color indexed="63"/>
      </right>
      <top style="thick">
        <color indexed="47"/>
      </top>
      <bottom style="thick">
        <color indexed="47"/>
      </bottom>
    </border>
    <border>
      <left style="thick">
        <color indexed="47"/>
      </left>
      <right style="thick"/>
      <top style="thick">
        <color indexed="47"/>
      </top>
      <bottom style="thick">
        <color indexed="47"/>
      </bottom>
    </border>
    <border>
      <left style="thick"/>
      <right>
        <color indexed="63"/>
      </right>
      <top>
        <color indexed="63"/>
      </top>
      <bottom style="thin"/>
    </border>
    <border>
      <left style="thick"/>
      <right>
        <color indexed="63"/>
      </right>
      <top style="thin"/>
      <bottom style="thin"/>
    </border>
    <border>
      <left style="thick"/>
      <right>
        <color indexed="63"/>
      </right>
      <top style="thin"/>
      <bottom style="medium"/>
    </border>
    <border>
      <left style="thin"/>
      <right style="thin"/>
      <top style="thick">
        <color indexed="47"/>
      </top>
      <bottom style="thin"/>
    </border>
    <border>
      <left style="thin"/>
      <right style="thin"/>
      <top style="thin"/>
      <bottom style="thin"/>
    </border>
    <border>
      <left style="thin"/>
      <right style="thin"/>
      <top style="thin"/>
      <bottom style="medium"/>
    </border>
    <border>
      <left style="thin"/>
      <right>
        <color indexed="63"/>
      </right>
      <top style="thick">
        <color indexed="47"/>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ck">
        <color indexed="47"/>
      </top>
      <bottom style="thin"/>
    </border>
    <border>
      <left>
        <color indexed="63"/>
      </left>
      <right>
        <color indexed="63"/>
      </right>
      <top style="thin"/>
      <bottom style="thin"/>
    </border>
    <border>
      <left>
        <color indexed="63"/>
      </left>
      <right>
        <color indexed="63"/>
      </right>
      <top style="thin"/>
      <bottom style="medium"/>
    </border>
    <border>
      <left>
        <color indexed="63"/>
      </left>
      <right style="thick">
        <color indexed="47"/>
      </right>
      <top style="thick">
        <color indexed="47"/>
      </top>
      <bottom style="thick">
        <color indexed="47"/>
      </bottom>
    </border>
    <border>
      <left style="thick"/>
      <right style="thick"/>
      <top style="thick">
        <color indexed="47"/>
      </top>
      <bottom style="medium"/>
    </border>
    <border>
      <left style="thick"/>
      <right style="thick"/>
      <top style="medium"/>
      <bottom style="medium"/>
    </border>
    <border>
      <left>
        <color indexed="63"/>
      </left>
      <right style="thick"/>
      <top style="medium"/>
      <bottom style="medium"/>
    </border>
    <border>
      <left style="thick"/>
      <right>
        <color indexed="63"/>
      </right>
      <top style="thick">
        <color indexed="47"/>
      </top>
      <bottom style="medium"/>
    </border>
    <border>
      <left style="thick"/>
      <right>
        <color indexed="63"/>
      </right>
      <top style="medium"/>
      <bottom style="medium"/>
    </border>
    <border>
      <left style="thick"/>
      <right style="thick"/>
      <top>
        <color indexed="63"/>
      </top>
      <bottom style="medium"/>
    </border>
    <border>
      <left>
        <color indexed="63"/>
      </left>
      <right>
        <color indexed="63"/>
      </right>
      <top style="thick">
        <color indexed="47"/>
      </top>
      <bottom style="medium"/>
    </border>
    <border>
      <left style="medium">
        <color indexed="47"/>
      </left>
      <right style="thick">
        <color indexed="47"/>
      </right>
      <top style="thick">
        <color indexed="47"/>
      </top>
      <bottom style="thick">
        <color indexed="47"/>
      </bottom>
    </border>
    <border>
      <left style="medium"/>
      <right style="thick"/>
      <top style="thick">
        <color indexed="47"/>
      </top>
      <bottom style="thin"/>
    </border>
    <border>
      <left style="medium"/>
      <right style="thick"/>
      <top style="thin"/>
      <bottom style="thin"/>
    </border>
    <border>
      <left style="medium"/>
      <right style="thick"/>
      <top style="thin"/>
      <bottom style="medium"/>
    </border>
    <border>
      <left style="thick"/>
      <right style="thin"/>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thick"/>
      <top>
        <color indexed="63"/>
      </top>
      <bottom style="medium"/>
    </border>
    <border>
      <left>
        <color indexed="63"/>
      </left>
      <right style="medium"/>
      <top style="medium"/>
      <bottom style="thick"/>
    </border>
    <border>
      <left style="thick"/>
      <right>
        <color indexed="63"/>
      </right>
      <top style="thick"/>
      <bottom style="thick"/>
    </border>
    <border>
      <left>
        <color indexed="63"/>
      </left>
      <right style="thick"/>
      <top>
        <color indexed="63"/>
      </top>
      <bottom style="thick"/>
    </border>
    <border>
      <left>
        <color indexed="63"/>
      </left>
      <right style="medium"/>
      <top>
        <color indexed="63"/>
      </top>
      <bottom style="thick"/>
    </border>
    <border>
      <left style="medium"/>
      <right style="thick"/>
      <top>
        <color indexed="63"/>
      </top>
      <bottom style="thick"/>
    </border>
    <border>
      <left style="thick"/>
      <right style="thin"/>
      <top style="medium"/>
      <bottom style="thin"/>
    </border>
    <border>
      <left>
        <color indexed="63"/>
      </left>
      <right style="thick"/>
      <top style="medium"/>
      <bottom style="thin"/>
    </border>
    <border>
      <left style="thin"/>
      <right style="thick"/>
      <top style="medium"/>
      <bottom style="thick"/>
    </border>
    <border>
      <left style="thick"/>
      <right style="medium"/>
      <top style="medium"/>
      <bottom style="thick"/>
    </border>
    <border>
      <left style="medium"/>
      <right style="medium"/>
      <top>
        <color indexed="63"/>
      </top>
      <bottom style="thick"/>
    </border>
    <border>
      <left>
        <color indexed="63"/>
      </left>
      <right style="medium">
        <color indexed="20"/>
      </right>
      <top>
        <color indexed="63"/>
      </top>
      <bottom style="medium">
        <color indexed="20"/>
      </bottom>
    </border>
    <border>
      <left style="medium">
        <color indexed="12"/>
      </left>
      <right>
        <color indexed="63"/>
      </right>
      <top>
        <color indexed="63"/>
      </top>
      <bottom>
        <color indexed="63"/>
      </bottom>
    </border>
    <border>
      <left style="medium">
        <color indexed="8"/>
      </left>
      <right>
        <color indexed="63"/>
      </right>
      <top>
        <color indexed="63"/>
      </top>
      <bottom style="medium">
        <color indexed="8"/>
      </bottom>
    </border>
    <border>
      <left style="medium"/>
      <right style="medium"/>
      <top style="medium"/>
      <bottom style="medium"/>
    </border>
    <border>
      <left style="medium">
        <color indexed="12"/>
      </left>
      <right>
        <color indexed="63"/>
      </right>
      <top>
        <color indexed="63"/>
      </top>
      <bottom style="medium">
        <color indexed="12"/>
      </bottom>
    </border>
    <border>
      <left style="medium">
        <color indexed="20"/>
      </left>
      <right>
        <color indexed="63"/>
      </right>
      <top>
        <color indexed="63"/>
      </top>
      <bottom style="medium">
        <color indexed="20"/>
      </bottom>
    </border>
    <border>
      <left>
        <color indexed="63"/>
      </left>
      <right>
        <color indexed="63"/>
      </right>
      <top>
        <color indexed="63"/>
      </top>
      <bottom style="medium">
        <color indexed="20"/>
      </bottom>
    </border>
    <border>
      <left style="medium">
        <color indexed="18"/>
      </left>
      <right>
        <color indexed="63"/>
      </right>
      <top>
        <color indexed="63"/>
      </top>
      <bottom style="medium">
        <color indexed="18"/>
      </bottom>
    </border>
    <border>
      <left style="medium">
        <color indexed="51"/>
      </left>
      <right>
        <color indexed="63"/>
      </right>
      <top>
        <color indexed="63"/>
      </top>
      <bottom style="medium">
        <color indexed="51"/>
      </bottom>
    </border>
    <border>
      <left>
        <color indexed="63"/>
      </left>
      <right>
        <color indexed="63"/>
      </right>
      <top>
        <color indexed="63"/>
      </top>
      <bottom style="medium"/>
    </border>
    <border>
      <left style="medium">
        <color indexed="53"/>
      </left>
      <right>
        <color indexed="63"/>
      </right>
      <top>
        <color indexed="63"/>
      </top>
      <bottom style="thin">
        <color indexed="53"/>
      </bottom>
    </border>
    <border>
      <left style="thick"/>
      <right>
        <color indexed="63"/>
      </right>
      <top>
        <color indexed="63"/>
      </top>
      <bottom style="medium"/>
    </border>
    <border>
      <left>
        <color indexed="63"/>
      </left>
      <right style="thick"/>
      <top>
        <color indexed="63"/>
      </top>
      <bottom style="medium"/>
    </border>
    <border>
      <left>
        <color indexed="63"/>
      </left>
      <right style="mediumDashed">
        <color indexed="48"/>
      </right>
      <top style="medium">
        <color indexed="48"/>
      </top>
      <bottom>
        <color indexed="63"/>
      </bottom>
    </border>
    <border>
      <left>
        <color indexed="63"/>
      </left>
      <right>
        <color indexed="63"/>
      </right>
      <top>
        <color indexed="63"/>
      </top>
      <bottom style="thick">
        <color indexed="57"/>
      </bottom>
    </border>
    <border>
      <left>
        <color indexed="63"/>
      </left>
      <right style="mediumDashed">
        <color indexed="57"/>
      </right>
      <top>
        <color indexed="63"/>
      </top>
      <bottom style="thick">
        <color indexed="57"/>
      </bottom>
    </border>
    <border>
      <left>
        <color indexed="63"/>
      </left>
      <right>
        <color indexed="63"/>
      </right>
      <top>
        <color indexed="63"/>
      </top>
      <bottom style="thick">
        <color indexed="48"/>
      </bottom>
    </border>
    <border>
      <left>
        <color indexed="63"/>
      </left>
      <right style="mediumDashed">
        <color indexed="48"/>
      </right>
      <top>
        <color indexed="63"/>
      </top>
      <bottom style="thick">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0" fillId="0" borderId="0" xfId="0" applyFill="1" applyBorder="1" applyAlignment="1">
      <alignment/>
    </xf>
    <xf numFmtId="0" fontId="0" fillId="0" borderId="0" xfId="0" applyAlignment="1" applyProtection="1">
      <alignment/>
      <protection/>
    </xf>
    <xf numFmtId="0" fontId="0" fillId="0" borderId="0" xfId="0" applyFill="1" applyBorder="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0" fillId="0" borderId="0" xfId="0" applyAlignment="1" applyProtection="1">
      <alignment wrapText="1"/>
      <protection/>
    </xf>
    <xf numFmtId="0" fontId="6" fillId="0" borderId="0" xfId="0" applyFont="1" applyAlignment="1" applyProtection="1">
      <alignment/>
      <protection/>
    </xf>
    <xf numFmtId="0" fontId="0" fillId="0" borderId="0" xfId="0" applyBorder="1" applyAlignment="1" applyProtection="1">
      <alignment wrapText="1"/>
      <protection/>
    </xf>
    <xf numFmtId="0" fontId="0" fillId="2" borderId="0" xfId="0" applyFill="1" applyBorder="1" applyAlignment="1" applyProtection="1">
      <alignment/>
      <protection/>
    </xf>
    <xf numFmtId="0" fontId="0" fillId="0" borderId="0" xfId="0" applyBorder="1" applyAlignment="1" applyProtection="1">
      <alignment/>
      <protection/>
    </xf>
    <xf numFmtId="49" fontId="16" fillId="0" borderId="0" xfId="20" applyNumberFormat="1" applyFont="1" applyAlignment="1" applyProtection="1">
      <alignment/>
      <protection/>
    </xf>
    <xf numFmtId="0" fontId="6" fillId="0" borderId="0" xfId="0" applyFont="1" applyAlignment="1">
      <alignment/>
    </xf>
    <xf numFmtId="0" fontId="0" fillId="0" borderId="1" xfId="0" applyBorder="1" applyAlignment="1" applyProtection="1">
      <alignment/>
      <protection/>
    </xf>
    <xf numFmtId="0" fontId="0" fillId="0" borderId="2" xfId="0" applyBorder="1" applyAlignment="1" applyProtection="1">
      <alignment/>
      <protection/>
    </xf>
    <xf numFmtId="0" fontId="2" fillId="0" borderId="0" xfId="0" applyFont="1" applyAlignment="1">
      <alignment/>
    </xf>
    <xf numFmtId="0" fontId="0" fillId="0" borderId="3" xfId="0" applyBorder="1" applyAlignment="1" applyProtection="1">
      <alignment wrapText="1"/>
      <protection/>
    </xf>
    <xf numFmtId="0" fontId="13" fillId="0" borderId="4" xfId="0" applyFont="1" applyBorder="1" applyAlignment="1" applyProtection="1">
      <alignment/>
      <protection/>
    </xf>
    <xf numFmtId="0" fontId="13" fillId="0" borderId="5" xfId="0" applyFont="1"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6" xfId="0" applyBorder="1" applyAlignment="1" applyProtection="1">
      <alignment wrapText="1"/>
      <protection/>
    </xf>
    <xf numFmtId="0" fontId="0" fillId="0" borderId="7"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4" fillId="0" borderId="0" xfId="0" applyFont="1" applyBorder="1" applyAlignment="1" applyProtection="1">
      <alignment/>
      <protection/>
    </xf>
    <xf numFmtId="0" fontId="0" fillId="0" borderId="10" xfId="0" applyBorder="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3" xfId="0" applyBorder="1" applyAlignment="1">
      <alignment/>
    </xf>
    <xf numFmtId="0" fontId="0" fillId="0" borderId="0" xfId="0" applyBorder="1" applyAlignment="1" applyProtection="1">
      <alignment/>
      <protection/>
    </xf>
    <xf numFmtId="0" fontId="0" fillId="0" borderId="12" xfId="0" applyBorder="1" applyAlignment="1" applyProtection="1">
      <alignment/>
      <protection/>
    </xf>
    <xf numFmtId="0" fontId="13" fillId="0" borderId="13" xfId="0" applyFont="1" applyBorder="1" applyAlignment="1">
      <alignment/>
    </xf>
    <xf numFmtId="0" fontId="0" fillId="0" borderId="14" xfId="0" applyBorder="1" applyAlignment="1">
      <alignment/>
    </xf>
    <xf numFmtId="0" fontId="0" fillId="0" borderId="15" xfId="0" applyBorder="1" applyAlignment="1" applyProtection="1">
      <alignment/>
      <protection/>
    </xf>
    <xf numFmtId="0" fontId="13" fillId="0" borderId="9" xfId="0" applyFont="1" applyBorder="1" applyAlignment="1" applyProtection="1">
      <alignment/>
      <protection/>
    </xf>
    <xf numFmtId="0" fontId="0" fillId="0" borderId="16" xfId="0" applyBorder="1" applyAlignment="1">
      <alignment/>
    </xf>
    <xf numFmtId="0" fontId="0" fillId="0" borderId="17" xfId="0" applyBorder="1" applyAlignment="1">
      <alignment/>
    </xf>
    <xf numFmtId="0" fontId="18" fillId="0" borderId="0" xfId="0" applyFont="1" applyAlignment="1" applyProtection="1">
      <alignment/>
      <protection/>
    </xf>
    <xf numFmtId="0" fontId="25" fillId="0" borderId="0" xfId="0" applyFont="1" applyAlignment="1">
      <alignment/>
    </xf>
    <xf numFmtId="0" fontId="25" fillId="3" borderId="18" xfId="0" applyFont="1" applyFill="1" applyBorder="1" applyAlignment="1">
      <alignment/>
    </xf>
    <xf numFmtId="0" fontId="6" fillId="3" borderId="19" xfId="0" applyFont="1" applyFill="1" applyBorder="1" applyAlignment="1">
      <alignment/>
    </xf>
    <xf numFmtId="2" fontId="11" fillId="0" borderId="20" xfId="0" applyNumberFormat="1" applyFont="1" applyBorder="1" applyAlignment="1" applyProtection="1">
      <alignment/>
      <protection locked="0"/>
    </xf>
    <xf numFmtId="169" fontId="11" fillId="0" borderId="20" xfId="0" applyNumberFormat="1" applyFont="1" applyBorder="1" applyAlignment="1" applyProtection="1">
      <alignment/>
      <protection locked="0"/>
    </xf>
    <xf numFmtId="169" fontId="12" fillId="0" borderId="21" xfId="0" applyNumberFormat="1" applyFont="1" applyBorder="1" applyAlignment="1" applyProtection="1">
      <alignment/>
      <protection locked="0"/>
    </xf>
    <xf numFmtId="169" fontId="22" fillId="0" borderId="0" xfId="0" applyNumberFormat="1" applyFont="1" applyBorder="1" applyAlignment="1" applyProtection="1">
      <alignment/>
      <protection hidden="1"/>
    </xf>
    <xf numFmtId="2" fontId="20" fillId="0" borderId="0" xfId="0" applyNumberFormat="1" applyFont="1" applyBorder="1" applyAlignment="1" applyProtection="1">
      <alignment/>
      <protection hidden="1"/>
    </xf>
    <xf numFmtId="169" fontId="0" fillId="0" borderId="22" xfId="0" applyNumberFormat="1" applyBorder="1" applyAlignment="1" applyProtection="1">
      <alignment/>
      <protection hidden="1"/>
    </xf>
    <xf numFmtId="169" fontId="2" fillId="0" borderId="0" xfId="0" applyNumberFormat="1" applyFont="1" applyBorder="1" applyAlignment="1" applyProtection="1">
      <alignment/>
      <protection hidden="1"/>
    </xf>
    <xf numFmtId="169" fontId="22" fillId="0" borderId="23" xfId="0" applyNumberFormat="1" applyFont="1" applyBorder="1" applyAlignment="1" applyProtection="1">
      <alignment/>
      <protection hidden="1"/>
    </xf>
    <xf numFmtId="2" fontId="20" fillId="0" borderId="23" xfId="0" applyNumberFormat="1" applyFont="1" applyBorder="1" applyAlignment="1" applyProtection="1">
      <alignment/>
      <protection hidden="1"/>
    </xf>
    <xf numFmtId="169" fontId="0" fillId="0" borderId="24" xfId="0" applyNumberFormat="1" applyBorder="1" applyAlignment="1" applyProtection="1">
      <alignment/>
      <protection hidden="1"/>
    </xf>
    <xf numFmtId="169" fontId="2" fillId="0" borderId="23" xfId="0" applyNumberFormat="1" applyFont="1" applyBorder="1" applyAlignment="1" applyProtection="1">
      <alignment/>
      <protection hidden="1"/>
    </xf>
    <xf numFmtId="169" fontId="22" fillId="0" borderId="25" xfId="0" applyNumberFormat="1" applyFont="1" applyBorder="1" applyAlignment="1" applyProtection="1">
      <alignment/>
      <protection hidden="1"/>
    </xf>
    <xf numFmtId="2" fontId="20" fillId="0" borderId="25" xfId="0" applyNumberFormat="1" applyFont="1" applyBorder="1" applyAlignment="1" applyProtection="1">
      <alignment/>
      <protection hidden="1"/>
    </xf>
    <xf numFmtId="169" fontId="0" fillId="0" borderId="26" xfId="0" applyNumberFormat="1" applyBorder="1" applyAlignment="1" applyProtection="1">
      <alignment/>
      <protection hidden="1"/>
    </xf>
    <xf numFmtId="169" fontId="2" fillId="0" borderId="25" xfId="0" applyNumberFormat="1" applyFont="1" applyBorder="1" applyAlignment="1" applyProtection="1">
      <alignment/>
      <protection hidden="1"/>
    </xf>
    <xf numFmtId="2" fontId="19" fillId="0" borderId="0" xfId="0" applyNumberFormat="1" applyFont="1" applyBorder="1" applyAlignment="1" applyProtection="1">
      <alignment wrapText="1"/>
      <protection hidden="1"/>
    </xf>
    <xf numFmtId="169" fontId="21" fillId="0" borderId="0" xfId="0" applyNumberFormat="1" applyFont="1" applyBorder="1" applyAlignment="1" applyProtection="1">
      <alignment/>
      <protection hidden="1"/>
    </xf>
    <xf numFmtId="169" fontId="0" fillId="0" borderId="0" xfId="0" applyNumberFormat="1" applyBorder="1" applyAlignment="1" applyProtection="1">
      <alignment/>
      <protection hidden="1"/>
    </xf>
    <xf numFmtId="169" fontId="21" fillId="0" borderId="0" xfId="0" applyNumberFormat="1" applyFont="1" applyBorder="1" applyAlignment="1" applyProtection="1">
      <alignment wrapText="1"/>
      <protection hidden="1"/>
    </xf>
    <xf numFmtId="2" fontId="19" fillId="0" borderId="23" xfId="0" applyNumberFormat="1" applyFont="1" applyBorder="1" applyAlignment="1" applyProtection="1">
      <alignment wrapText="1"/>
      <protection hidden="1"/>
    </xf>
    <xf numFmtId="169" fontId="21" fillId="0" borderId="23" xfId="0" applyNumberFormat="1" applyFont="1" applyBorder="1" applyAlignment="1" applyProtection="1">
      <alignment wrapText="1"/>
      <protection hidden="1"/>
    </xf>
    <xf numFmtId="169" fontId="0" fillId="0" borderId="23" xfId="0" applyNumberFormat="1" applyBorder="1" applyAlignment="1" applyProtection="1">
      <alignment/>
      <protection hidden="1"/>
    </xf>
    <xf numFmtId="2" fontId="19" fillId="0" borderId="25" xfId="0" applyNumberFormat="1" applyFont="1" applyBorder="1" applyAlignment="1" applyProtection="1">
      <alignment wrapText="1"/>
      <protection hidden="1"/>
    </xf>
    <xf numFmtId="169" fontId="21" fillId="0" borderId="25" xfId="0" applyNumberFormat="1" applyFont="1" applyBorder="1" applyAlignment="1" applyProtection="1">
      <alignment wrapText="1"/>
      <protection hidden="1"/>
    </xf>
    <xf numFmtId="169" fontId="0" fillId="0" borderId="25" xfId="0" applyNumberFormat="1" applyBorder="1" applyAlignment="1" applyProtection="1">
      <alignment/>
      <protection hidden="1"/>
    </xf>
    <xf numFmtId="169" fontId="0" fillId="0" borderId="0" xfId="0" applyNumberFormat="1" applyBorder="1" applyAlignment="1" applyProtection="1">
      <alignment/>
      <protection/>
    </xf>
    <xf numFmtId="0" fontId="29" fillId="0" borderId="0" xfId="0" applyFont="1" applyBorder="1" applyAlignment="1" applyProtection="1">
      <alignment/>
      <protection/>
    </xf>
    <xf numFmtId="0" fontId="29" fillId="0" borderId="8" xfId="0" applyFont="1" applyBorder="1" applyAlignment="1" applyProtection="1">
      <alignment/>
      <protection/>
    </xf>
    <xf numFmtId="2" fontId="30" fillId="0" borderId="27" xfId="0" applyNumberFormat="1" applyFont="1" applyBorder="1" applyAlignment="1">
      <alignment/>
    </xf>
    <xf numFmtId="2" fontId="30" fillId="0" borderId="28" xfId="0" applyNumberFormat="1" applyFont="1" applyBorder="1" applyAlignment="1">
      <alignment/>
    </xf>
    <xf numFmtId="0" fontId="29" fillId="0" borderId="0" xfId="0" applyFont="1" applyBorder="1" applyAlignment="1">
      <alignment/>
    </xf>
    <xf numFmtId="0" fontId="29" fillId="0" borderId="12" xfId="0" applyFont="1" applyBorder="1" applyAlignment="1" applyProtection="1">
      <alignment/>
      <protection/>
    </xf>
    <xf numFmtId="2" fontId="30" fillId="0" borderId="29" xfId="0" applyNumberFormat="1" applyFont="1" applyBorder="1" applyAlignment="1">
      <alignment/>
    </xf>
    <xf numFmtId="0" fontId="30" fillId="0" borderId="29" xfId="0" applyFont="1" applyBorder="1" applyAlignment="1">
      <alignment/>
    </xf>
    <xf numFmtId="2" fontId="30" fillId="0" borderId="30" xfId="0" applyNumberFormat="1" applyFont="1" applyBorder="1" applyAlignment="1">
      <alignment/>
    </xf>
    <xf numFmtId="0" fontId="2" fillId="0" borderId="6" xfId="0" applyFont="1" applyBorder="1" applyAlignment="1" applyProtection="1">
      <alignment/>
      <protection/>
    </xf>
    <xf numFmtId="0" fontId="2" fillId="0" borderId="0" xfId="0" applyFont="1" applyBorder="1" applyAlignment="1" applyProtection="1">
      <alignment/>
      <protection/>
    </xf>
    <xf numFmtId="0" fontId="20" fillId="0" borderId="0" xfId="0" applyFont="1" applyBorder="1" applyAlignment="1" applyProtection="1">
      <alignment wrapText="1"/>
      <protection/>
    </xf>
    <xf numFmtId="0" fontId="22" fillId="0" borderId="27" xfId="0" applyFont="1" applyBorder="1" applyAlignment="1" applyProtection="1">
      <alignment wrapText="1"/>
      <protection/>
    </xf>
    <xf numFmtId="0" fontId="2" fillId="0" borderId="0" xfId="0" applyFont="1" applyBorder="1" applyAlignment="1" applyProtection="1">
      <alignment/>
      <protection/>
    </xf>
    <xf numFmtId="0" fontId="22" fillId="0" borderId="29" xfId="0" applyFont="1" applyBorder="1" applyAlignment="1" applyProtection="1">
      <alignment wrapText="1"/>
      <protection/>
    </xf>
    <xf numFmtId="0" fontId="2" fillId="0" borderId="0" xfId="0" applyFont="1" applyBorder="1" applyAlignment="1">
      <alignment/>
    </xf>
    <xf numFmtId="0" fontId="2" fillId="0" borderId="0" xfId="0" applyFont="1" applyBorder="1" applyAlignment="1">
      <alignment horizontal="right"/>
    </xf>
    <xf numFmtId="0" fontId="22" fillId="0" borderId="15" xfId="0" applyFont="1" applyBorder="1" applyAlignment="1" applyProtection="1">
      <alignment wrapText="1"/>
      <protection/>
    </xf>
    <xf numFmtId="169" fontId="30" fillId="0" borderId="15" xfId="0" applyNumberFormat="1" applyFont="1" applyBorder="1" applyAlignment="1" applyProtection="1">
      <alignment/>
      <protection/>
    </xf>
    <xf numFmtId="169" fontId="30" fillId="0" borderId="31" xfId="0" applyNumberFormat="1" applyFont="1" applyBorder="1" applyAlignment="1" applyProtection="1">
      <alignment/>
      <protection/>
    </xf>
    <xf numFmtId="0" fontId="0" fillId="0" borderId="0" xfId="0" applyBorder="1" applyAlignment="1">
      <alignment/>
    </xf>
    <xf numFmtId="2" fontId="20" fillId="0" borderId="0" xfId="0" applyNumberFormat="1" applyFont="1" applyBorder="1" applyAlignment="1" applyProtection="1">
      <alignment wrapText="1"/>
      <protection/>
    </xf>
    <xf numFmtId="0" fontId="22" fillId="0" borderId="32" xfId="0" applyFont="1" applyBorder="1" applyAlignment="1" applyProtection="1">
      <alignment wrapText="1"/>
      <protection/>
    </xf>
    <xf numFmtId="0" fontId="31" fillId="0" borderId="0" xfId="0" applyFont="1" applyAlignment="1">
      <alignment/>
    </xf>
    <xf numFmtId="169" fontId="30" fillId="0" borderId="0" xfId="0" applyNumberFormat="1" applyFont="1" applyAlignment="1" applyProtection="1">
      <alignment/>
      <protection/>
    </xf>
    <xf numFmtId="2" fontId="29" fillId="0" borderId="0" xfId="0" applyNumberFormat="1" applyFont="1" applyAlignment="1" applyProtection="1">
      <alignment/>
      <protection/>
    </xf>
    <xf numFmtId="0" fontId="13" fillId="0" borderId="33" xfId="0" applyFont="1" applyBorder="1" applyAlignment="1" applyProtection="1">
      <alignment/>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2" fontId="29" fillId="0" borderId="0" xfId="0" applyNumberFormat="1" applyFont="1" applyBorder="1" applyAlignment="1" applyProtection="1">
      <alignment/>
      <protection/>
    </xf>
    <xf numFmtId="169" fontId="30" fillId="0" borderId="32" xfId="0" applyNumberFormat="1" applyFont="1" applyBorder="1" applyAlignment="1" applyProtection="1">
      <alignment/>
      <protection/>
    </xf>
    <xf numFmtId="0" fontId="0" fillId="0" borderId="37" xfId="0" applyBorder="1" applyAlignment="1">
      <alignment/>
    </xf>
    <xf numFmtId="2" fontId="29" fillId="0" borderId="37" xfId="0" applyNumberFormat="1" applyFont="1" applyBorder="1" applyAlignment="1" applyProtection="1">
      <alignment/>
      <protection/>
    </xf>
    <xf numFmtId="169" fontId="30" fillId="0" borderId="38" xfId="0" applyNumberFormat="1" applyFont="1" applyBorder="1" applyAlignment="1" applyProtection="1">
      <alignment/>
      <protection/>
    </xf>
    <xf numFmtId="0" fontId="0" fillId="0" borderId="39" xfId="0" applyBorder="1" applyAlignment="1" applyProtection="1">
      <alignment wrapText="1"/>
      <protection/>
    </xf>
    <xf numFmtId="0" fontId="17" fillId="0" borderId="39" xfId="0" applyFont="1" applyBorder="1" applyAlignment="1" applyProtection="1">
      <alignment wrapText="1"/>
      <protection/>
    </xf>
    <xf numFmtId="0" fontId="0" fillId="0" borderId="40" xfId="0" applyBorder="1" applyAlignment="1" applyProtection="1">
      <alignment wrapText="1"/>
      <protection/>
    </xf>
    <xf numFmtId="0" fontId="10"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9" fillId="0" borderId="42" xfId="0" applyFont="1" applyBorder="1" applyAlignment="1" applyProtection="1">
      <alignment wrapText="1"/>
      <protection/>
    </xf>
    <xf numFmtId="0" fontId="21" fillId="0" borderId="42" xfId="0" applyFont="1" applyBorder="1" applyAlignment="1" applyProtection="1">
      <alignment wrapText="1"/>
      <protection/>
    </xf>
    <xf numFmtId="0" fontId="2" fillId="0" borderId="42" xfId="0" applyFont="1"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21" fillId="0" borderId="44" xfId="0" applyFont="1" applyBorder="1" applyAlignment="1" applyProtection="1">
      <alignment wrapText="1"/>
      <protection/>
    </xf>
    <xf numFmtId="0" fontId="19" fillId="0" borderId="44" xfId="0" applyFont="1" applyBorder="1" applyAlignment="1" applyProtection="1">
      <alignment wrapText="1"/>
      <protection/>
    </xf>
    <xf numFmtId="0" fontId="2" fillId="0" borderId="44" xfId="0" applyFont="1" applyBorder="1" applyAlignment="1" applyProtection="1">
      <alignment wrapText="1"/>
      <protection/>
    </xf>
    <xf numFmtId="0" fontId="13" fillId="0" borderId="45" xfId="0" applyFont="1" applyBorder="1" applyAlignment="1" applyProtection="1">
      <alignment/>
      <protection/>
    </xf>
    <xf numFmtId="0" fontId="0" fillId="0" borderId="46" xfId="0" applyBorder="1" applyAlignment="1" applyProtection="1">
      <alignment wrapText="1"/>
      <protection/>
    </xf>
    <xf numFmtId="0" fontId="0" fillId="0" borderId="0" xfId="0" applyAlignment="1">
      <alignment/>
    </xf>
    <xf numFmtId="0" fontId="0" fillId="0" borderId="0" xfId="0" applyAlignment="1">
      <alignment wrapText="1"/>
    </xf>
    <xf numFmtId="0" fontId="0" fillId="0" borderId="6" xfId="0" applyBorder="1" applyAlignment="1" applyProtection="1">
      <alignment/>
      <protection/>
    </xf>
    <xf numFmtId="0" fontId="29" fillId="0" borderId="0" xfId="0" applyFont="1" applyBorder="1" applyAlignment="1">
      <alignment wrapText="1"/>
    </xf>
    <xf numFmtId="0" fontId="29" fillId="0" borderId="14" xfId="0" applyFont="1" applyBorder="1" applyAlignment="1">
      <alignment wrapText="1"/>
    </xf>
    <xf numFmtId="0" fontId="2" fillId="0" borderId="47" xfId="0" applyFont="1" applyBorder="1" applyAlignment="1" applyProtection="1">
      <alignment/>
      <protection/>
    </xf>
    <xf numFmtId="0" fontId="2" fillId="0" borderId="23" xfId="0" applyFont="1" applyBorder="1" applyAlignment="1" applyProtection="1">
      <alignment/>
      <protection/>
    </xf>
    <xf numFmtId="0" fontId="2" fillId="0" borderId="48" xfId="0" applyFont="1" applyBorder="1" applyAlignment="1" applyProtection="1">
      <alignment/>
      <protection/>
    </xf>
    <xf numFmtId="0" fontId="2" fillId="0" borderId="25" xfId="0" applyFont="1" applyFill="1" applyBorder="1" applyAlignment="1" applyProtection="1">
      <alignment/>
      <protection/>
    </xf>
    <xf numFmtId="0" fontId="2" fillId="0" borderId="49" xfId="0" applyFont="1" applyBorder="1" applyAlignment="1" applyProtection="1">
      <alignment/>
      <protection/>
    </xf>
    <xf numFmtId="0" fontId="2" fillId="0" borderId="50" xfId="0" applyFont="1" applyBorder="1" applyAlignment="1" applyProtection="1">
      <alignment/>
      <protection/>
    </xf>
    <xf numFmtId="0" fontId="2" fillId="0" borderId="51" xfId="0" applyFont="1" applyBorder="1" applyAlignment="1" applyProtection="1">
      <alignment/>
      <protection/>
    </xf>
    <xf numFmtId="169" fontId="18" fillId="0" borderId="52" xfId="0" applyNumberFormat="1" applyFont="1" applyBorder="1" applyAlignment="1" applyProtection="1">
      <alignment horizontal="right"/>
      <protection hidden="1"/>
    </xf>
    <xf numFmtId="169" fontId="18" fillId="0" borderId="53" xfId="0" applyNumberFormat="1" applyFont="1" applyBorder="1" applyAlignment="1" applyProtection="1">
      <alignment horizontal="right"/>
      <protection hidden="1"/>
    </xf>
    <xf numFmtId="0" fontId="18" fillId="0" borderId="54" xfId="0" applyFont="1" applyBorder="1" applyAlignment="1" applyProtection="1">
      <alignment wrapText="1"/>
      <protection locked="0"/>
    </xf>
    <xf numFmtId="0" fontId="18" fillId="0" borderId="55" xfId="0" applyFont="1" applyBorder="1" applyAlignment="1" applyProtection="1">
      <alignment wrapText="1"/>
      <protection locked="0"/>
    </xf>
    <xf numFmtId="0" fontId="3"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36" xfId="0" applyBorder="1" applyAlignment="1">
      <alignment/>
    </xf>
    <xf numFmtId="0" fontId="0" fillId="0" borderId="56" xfId="0" applyBorder="1" applyAlignment="1" applyProtection="1">
      <alignment/>
      <protection/>
    </xf>
    <xf numFmtId="0" fontId="0" fillId="0" borderId="37" xfId="0" applyBorder="1" applyAlignment="1" applyProtection="1">
      <alignment/>
      <protection/>
    </xf>
    <xf numFmtId="0" fontId="0" fillId="0" borderId="38" xfId="0" applyBorder="1" applyAlignment="1">
      <alignment/>
    </xf>
    <xf numFmtId="0" fontId="35" fillId="0" borderId="57" xfId="0" applyFont="1" applyBorder="1" applyAlignment="1" applyProtection="1">
      <alignment wrapText="1"/>
      <protection/>
    </xf>
    <xf numFmtId="0" fontId="36" fillId="0" borderId="58" xfId="0" applyFont="1" applyBorder="1" applyAlignment="1" applyProtection="1">
      <alignment wrapText="1"/>
      <protection/>
    </xf>
    <xf numFmtId="2" fontId="37" fillId="0" borderId="59" xfId="0" applyNumberFormat="1" applyFont="1" applyBorder="1" applyAlignment="1" applyProtection="1">
      <alignment/>
      <protection locked="0"/>
    </xf>
    <xf numFmtId="2" fontId="38" fillId="0" borderId="60" xfId="0" applyNumberFormat="1" applyFont="1" applyBorder="1" applyAlignment="1" applyProtection="1">
      <alignment/>
      <protection locked="0"/>
    </xf>
    <xf numFmtId="0" fontId="40" fillId="0" borderId="0" xfId="0" applyFont="1" applyBorder="1" applyAlignment="1">
      <alignment horizontal="left" wrapText="1"/>
    </xf>
    <xf numFmtId="0" fontId="40" fillId="0" borderId="0" xfId="0" applyFont="1" applyAlignment="1">
      <alignment horizontal="left" wrapText="1"/>
    </xf>
    <xf numFmtId="0" fontId="0" fillId="0" borderId="61" xfId="0" applyBorder="1" applyAlignment="1">
      <alignment/>
    </xf>
    <xf numFmtId="0" fontId="4" fillId="0" borderId="0" xfId="0" applyFont="1" applyAlignment="1">
      <alignment wrapText="1"/>
    </xf>
    <xf numFmtId="0" fontId="4" fillId="0" borderId="61" xfId="0" applyFont="1" applyBorder="1" applyAlignment="1">
      <alignment wrapText="1"/>
    </xf>
    <xf numFmtId="0" fontId="4" fillId="0" borderId="62" xfId="0" applyFont="1" applyBorder="1" applyAlignment="1">
      <alignment wrapText="1"/>
    </xf>
    <xf numFmtId="0" fontId="4" fillId="0" borderId="63" xfId="0" applyFont="1" applyBorder="1" applyAlignment="1">
      <alignment wrapText="1"/>
    </xf>
    <xf numFmtId="0" fontId="4" fillId="0" borderId="64" xfId="0" applyFont="1" applyBorder="1" applyAlignment="1">
      <alignment horizontal="center" wrapText="1"/>
    </xf>
    <xf numFmtId="0" fontId="4"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13" fillId="0" borderId="68" xfId="0" applyFont="1" applyBorder="1" applyAlignment="1">
      <alignment/>
    </xf>
    <xf numFmtId="0" fontId="0" fillId="0" borderId="69" xfId="0" applyBorder="1" applyAlignment="1">
      <alignment/>
    </xf>
    <xf numFmtId="0" fontId="0" fillId="0" borderId="70" xfId="0" applyBorder="1" applyAlignment="1">
      <alignment/>
    </xf>
    <xf numFmtId="0" fontId="4" fillId="0" borderId="71" xfId="0" applyFont="1" applyBorder="1" applyAlignment="1">
      <alignment horizontal="left"/>
    </xf>
    <xf numFmtId="0" fontId="39" fillId="0" borderId="72" xfId="0" applyFont="1" applyBorder="1" applyAlignment="1">
      <alignment wrapText="1"/>
    </xf>
    <xf numFmtId="0" fontId="39" fillId="0" borderId="0" xfId="0" applyFont="1" applyBorder="1" applyAlignment="1">
      <alignment horizontal="center" wrapText="1"/>
    </xf>
    <xf numFmtId="0" fontId="39" fillId="0" borderId="64" xfId="0" applyFont="1" applyBorder="1" applyAlignment="1">
      <alignment wrapText="1"/>
    </xf>
    <xf numFmtId="0" fontId="13" fillId="0" borderId="73" xfId="0" applyFont="1" applyBorder="1" applyAlignment="1">
      <alignment/>
    </xf>
    <xf numFmtId="0" fontId="0" fillId="0" borderId="74" xfId="0" applyBorder="1" applyAlignment="1">
      <alignment/>
    </xf>
    <xf numFmtId="0" fontId="0" fillId="0" borderId="75" xfId="0" applyBorder="1" applyAlignment="1">
      <alignment/>
    </xf>
    <xf numFmtId="0" fontId="39" fillId="0" borderId="0" xfId="0" applyFont="1" applyBorder="1" applyAlignment="1">
      <alignment wrapText="1"/>
    </xf>
    <xf numFmtId="0" fontId="39" fillId="0" borderId="65" xfId="0" applyFont="1" applyBorder="1" applyAlignment="1">
      <alignment wrapText="1"/>
    </xf>
    <xf numFmtId="0" fontId="13" fillId="0" borderId="76" xfId="0" applyFont="1" applyBorder="1" applyAlignment="1">
      <alignment/>
    </xf>
    <xf numFmtId="0" fontId="0" fillId="0" borderId="77" xfId="0" applyBorder="1" applyAlignment="1">
      <alignment/>
    </xf>
    <xf numFmtId="0" fontId="0" fillId="0" borderId="78" xfId="0" applyBorder="1" applyAlignment="1">
      <alignment/>
    </xf>
    <xf numFmtId="0" fontId="4" fillId="0" borderId="72" xfId="0" applyFont="1" applyBorder="1" applyAlignment="1">
      <alignment horizontal="left" wrapText="1"/>
    </xf>
    <xf numFmtId="0" fontId="5" fillId="0" borderId="79" xfId="0" applyFont="1" applyBorder="1" applyAlignment="1" applyProtection="1">
      <alignment/>
      <protection/>
    </xf>
    <xf numFmtId="2" fontId="19" fillId="0" borderId="80" xfId="0" applyNumberFormat="1" applyFont="1" applyBorder="1" applyAlignment="1" applyProtection="1">
      <alignment horizontal="right"/>
      <protection hidden="1"/>
    </xf>
    <xf numFmtId="169" fontId="21" fillId="0" borderId="80" xfId="0" applyNumberFormat="1" applyFont="1" applyBorder="1" applyAlignment="1" applyProtection="1">
      <alignment horizontal="right" wrapText="1"/>
      <protection hidden="1"/>
    </xf>
    <xf numFmtId="169" fontId="5" fillId="0" borderId="80" xfId="0" applyNumberFormat="1" applyFont="1" applyBorder="1" applyAlignment="1" applyProtection="1">
      <alignment horizontal="right"/>
      <protection hidden="1"/>
    </xf>
    <xf numFmtId="169" fontId="18" fillId="0" borderId="81" xfId="0" applyNumberFormat="1" applyFont="1" applyBorder="1" applyAlignment="1" applyProtection="1">
      <alignment horizontal="right"/>
      <protection hidden="1"/>
    </xf>
    <xf numFmtId="0" fontId="5" fillId="0" borderId="82" xfId="0" applyFont="1" applyBorder="1" applyAlignment="1" applyProtection="1">
      <alignment/>
      <protection/>
    </xf>
    <xf numFmtId="169" fontId="5" fillId="0" borderId="83" xfId="0" applyNumberFormat="1" applyFont="1" applyBorder="1" applyAlignment="1" applyProtection="1">
      <alignment horizontal="right"/>
      <protection hidden="1"/>
    </xf>
    <xf numFmtId="2" fontId="5" fillId="0" borderId="83" xfId="0" applyNumberFormat="1" applyFont="1" applyFill="1" applyBorder="1" applyAlignment="1" applyProtection="1">
      <alignment horizontal="right"/>
      <protection hidden="1"/>
    </xf>
    <xf numFmtId="169" fontId="5" fillId="0" borderId="84" xfId="0" applyNumberFormat="1" applyFont="1" applyBorder="1" applyAlignment="1" applyProtection="1">
      <alignment horizontal="right"/>
      <protection hidden="1"/>
    </xf>
    <xf numFmtId="0" fontId="0" fillId="0" borderId="15" xfId="0" applyBorder="1" applyAlignment="1" applyProtection="1">
      <alignment wrapText="1"/>
      <protection/>
    </xf>
    <xf numFmtId="0" fontId="42" fillId="0" borderId="85" xfId="0" applyFont="1" applyBorder="1" applyAlignment="1" applyProtection="1">
      <alignment/>
      <protection locked="0"/>
    </xf>
    <xf numFmtId="0" fontId="43" fillId="0" borderId="86" xfId="0" applyFont="1" applyBorder="1" applyAlignment="1" applyProtection="1">
      <alignment/>
      <protection locked="0"/>
    </xf>
    <xf numFmtId="0" fontId="6" fillId="0" borderId="87" xfId="0" applyFont="1" applyBorder="1" applyAlignment="1">
      <alignment/>
    </xf>
    <xf numFmtId="0" fontId="0" fillId="0" borderId="87" xfId="0" applyBorder="1" applyAlignment="1" applyProtection="1">
      <alignment/>
      <protection/>
    </xf>
    <xf numFmtId="0" fontId="0" fillId="0" borderId="87" xfId="0" applyFill="1" applyBorder="1" applyAlignment="1" applyProtection="1">
      <alignment/>
      <protection/>
    </xf>
    <xf numFmtId="0" fontId="13" fillId="0" borderId="88" xfId="0" applyFont="1" applyBorder="1" applyAlignment="1" applyProtection="1">
      <alignment/>
      <protection/>
    </xf>
    <xf numFmtId="0" fontId="13" fillId="0" borderId="89" xfId="0" applyFont="1" applyBorder="1" applyAlignment="1" applyProtection="1">
      <alignment/>
      <protection/>
    </xf>
    <xf numFmtId="0" fontId="13" fillId="0" borderId="90" xfId="0" applyFont="1" applyBorder="1" applyAlignment="1" applyProtection="1">
      <alignment/>
      <protection/>
    </xf>
    <xf numFmtId="0" fontId="0" fillId="2" borderId="91" xfId="0" applyFill="1" applyBorder="1" applyAlignment="1" applyProtection="1">
      <alignment/>
      <protection/>
    </xf>
    <xf numFmtId="0" fontId="0" fillId="2" borderId="92" xfId="0" applyFill="1" applyBorder="1" applyAlignment="1" applyProtection="1">
      <alignment/>
      <protection/>
    </xf>
    <xf numFmtId="0" fontId="13" fillId="0" borderId="93" xfId="0" applyFont="1" applyBorder="1" applyAlignment="1" applyProtection="1">
      <alignment/>
      <protection/>
    </xf>
    <xf numFmtId="0" fontId="0" fillId="0" borderId="15" xfId="0" applyBorder="1" applyAlignment="1">
      <alignment/>
    </xf>
    <xf numFmtId="0" fontId="0" fillId="0" borderId="94" xfId="0" applyBorder="1" applyAlignment="1" applyProtection="1">
      <alignment/>
      <protection/>
    </xf>
    <xf numFmtId="0" fontId="4" fillId="0" borderId="94" xfId="0" applyFont="1" applyBorder="1" applyAlignment="1" applyProtection="1">
      <alignment/>
      <protection/>
    </xf>
    <xf numFmtId="0" fontId="0" fillId="0" borderId="94" xfId="0" applyBorder="1" applyAlignment="1" applyProtection="1">
      <alignment wrapText="1"/>
      <protection/>
    </xf>
    <xf numFmtId="0" fontId="0" fillId="0" borderId="95" xfId="0" applyBorder="1" applyAlignment="1" applyProtection="1">
      <alignment wrapText="1"/>
      <protection/>
    </xf>
    <xf numFmtId="0" fontId="32" fillId="0" borderId="96" xfId="0" applyFont="1" applyBorder="1" applyAlignment="1" applyProtection="1">
      <alignment vertical="center"/>
      <protection/>
    </xf>
    <xf numFmtId="0" fontId="9" fillId="0" borderId="97" xfId="0" applyFont="1" applyBorder="1" applyAlignment="1" applyProtection="1">
      <alignment vertical="center"/>
      <protection/>
    </xf>
    <xf numFmtId="0" fontId="2" fillId="0" borderId="98" xfId="0" applyFont="1" applyBorder="1" applyAlignment="1" applyProtection="1">
      <alignment wrapText="1"/>
      <protection/>
    </xf>
    <xf numFmtId="0" fontId="26" fillId="0" borderId="20" xfId="0" applyFont="1" applyBorder="1" applyAlignment="1" applyProtection="1">
      <alignment horizontal="center" vertical="center" wrapText="1"/>
      <protection/>
    </xf>
    <xf numFmtId="0" fontId="28" fillId="0" borderId="99" xfId="0" applyFont="1" applyBorder="1" applyAlignment="1" applyProtection="1">
      <alignment wrapText="1"/>
      <protection/>
    </xf>
    <xf numFmtId="0" fontId="2" fillId="0" borderId="100" xfId="0" applyFont="1" applyBorder="1" applyAlignment="1" applyProtection="1">
      <alignment wrapText="1"/>
      <protection/>
    </xf>
    <xf numFmtId="0" fontId="27" fillId="0" borderId="101" xfId="0" applyFont="1" applyBorder="1" applyAlignment="1" applyProtection="1">
      <alignment horizontal="center" vertical="center" wrapText="1"/>
      <protection/>
    </xf>
    <xf numFmtId="0" fontId="28" fillId="0" borderId="102" xfId="0" applyFont="1" applyBorder="1" applyAlignment="1" applyProtection="1">
      <alignment wrapText="1"/>
      <protection/>
    </xf>
    <xf numFmtId="0" fontId="3" fillId="0" borderId="0" xfId="0" applyFont="1" applyAlignment="1">
      <alignment/>
    </xf>
    <xf numFmtId="171" fontId="2" fillId="0" borderId="0" xfId="0" applyNumberFormat="1" applyFont="1" applyAlignment="1">
      <alignment/>
    </xf>
    <xf numFmtId="0" fontId="13" fillId="0" borderId="0" xfId="0" applyFont="1" applyAlignment="1">
      <alignment/>
    </xf>
    <xf numFmtId="0" fontId="14" fillId="0" borderId="0" xfId="20" applyAlignment="1">
      <alignment/>
    </xf>
    <xf numFmtId="171" fontId="46" fillId="0" borderId="103" xfId="0" applyNumberFormat="1" applyFont="1" applyBorder="1" applyAlignment="1">
      <alignment horizontal="center" vertical="center"/>
    </xf>
    <xf numFmtId="0" fontId="13" fillId="4" borderId="104" xfId="0" applyFont="1" applyFill="1" applyBorder="1" applyAlignment="1">
      <alignment wrapText="1"/>
    </xf>
    <xf numFmtId="171" fontId="5" fillId="4" borderId="105" xfId="0" applyNumberFormat="1" applyFont="1" applyFill="1" applyBorder="1" applyAlignment="1">
      <alignment horizontal="center" wrapText="1"/>
    </xf>
    <xf numFmtId="0" fontId="0" fillId="4" borderId="0" xfId="0" applyFill="1" applyAlignment="1">
      <alignment/>
    </xf>
    <xf numFmtId="0" fontId="0" fillId="0" borderId="106" xfId="0" applyBorder="1" applyAlignment="1">
      <alignment horizontal="center"/>
    </xf>
    <xf numFmtId="171" fontId="0" fillId="0" borderId="107" xfId="0" applyNumberFormat="1" applyBorder="1" applyAlignment="1">
      <alignment horizontal="center"/>
    </xf>
    <xf numFmtId="0" fontId="2" fillId="0" borderId="108" xfId="0" applyFont="1" applyBorder="1" applyAlignment="1">
      <alignment horizontal="center"/>
    </xf>
    <xf numFmtId="0" fontId="5" fillId="0" borderId="18" xfId="0" applyFont="1" applyBorder="1" applyAlignment="1">
      <alignment horizontal="center"/>
    </xf>
    <xf numFmtId="0" fontId="48" fillId="0" borderId="0" xfId="0" applyFont="1" applyAlignment="1">
      <alignment/>
    </xf>
    <xf numFmtId="0" fontId="47" fillId="0" borderId="0" xfId="0" applyFont="1" applyAlignment="1">
      <alignment/>
    </xf>
    <xf numFmtId="2" fontId="20" fillId="0" borderId="109" xfId="0" applyNumberFormat="1" applyFont="1" applyBorder="1" applyAlignment="1" applyProtection="1">
      <alignment vertical="top" wrapText="1"/>
      <protection/>
    </xf>
    <xf numFmtId="0" fontId="22" fillId="0" borderId="110" xfId="0" applyFont="1" applyBorder="1" applyAlignment="1" applyProtection="1">
      <alignment vertical="top" wrapText="1"/>
      <protection/>
    </xf>
    <xf numFmtId="0" fontId="18" fillId="0" borderId="0" xfId="0" applyFont="1" applyAlignment="1">
      <alignment/>
    </xf>
    <xf numFmtId="0" fontId="0" fillId="0" borderId="18" xfId="0" applyBorder="1" applyAlignment="1">
      <alignment horizontal="center"/>
    </xf>
    <xf numFmtId="0" fontId="33" fillId="0" borderId="111" xfId="0" applyFont="1" applyBorder="1" applyAlignment="1">
      <alignment wrapText="1"/>
    </xf>
    <xf numFmtId="0" fontId="0" fillId="0" borderId="112" xfId="0" applyBorder="1" applyAlignment="1" applyProtection="1">
      <alignment/>
      <protection/>
    </xf>
    <xf numFmtId="0" fontId="0" fillId="0" borderId="112" xfId="0" applyBorder="1" applyAlignment="1">
      <alignment/>
    </xf>
    <xf numFmtId="0" fontId="0" fillId="0" borderId="113" xfId="0" applyBorder="1" applyAlignment="1" applyProtection="1">
      <alignment/>
      <protection/>
    </xf>
    <xf numFmtId="0" fontId="3" fillId="0" borderId="114" xfId="0" applyFont="1" applyBorder="1" applyAlignment="1">
      <alignment/>
    </xf>
    <xf numFmtId="0" fontId="0" fillId="0" borderId="115" xfId="0" applyBorder="1" applyAlignment="1">
      <alignment/>
    </xf>
    <xf numFmtId="0" fontId="0" fillId="0" borderId="116" xfId="0" applyBorder="1" applyAlignment="1">
      <alignment/>
    </xf>
    <xf numFmtId="0" fontId="14" fillId="0" borderId="0" xfId="20" applyAlignment="1" quotePrefix="1">
      <alignment/>
    </xf>
    <xf numFmtId="171" fontId="5" fillId="4" borderId="105" xfId="0" applyNumberFormat="1" applyFont="1" applyFill="1" applyBorder="1" applyAlignment="1">
      <alignment horizontal="right" wrapText="1"/>
    </xf>
    <xf numFmtId="0" fontId="14" fillId="0" borderId="0" xfId="20" applyAlignment="1" applyProtection="1">
      <alignment/>
      <protection/>
    </xf>
    <xf numFmtId="1" fontId="3" fillId="5" borderId="117" xfId="0" applyNumberFormat="1" applyFont="1" applyFill="1" applyBorder="1" applyAlignment="1" applyProtection="1">
      <alignment horizontal="center"/>
      <protection locked="0"/>
    </xf>
    <xf numFmtId="171" fontId="0" fillId="0" borderId="0" xfId="0" applyNumberFormat="1" applyBorder="1" applyAlignment="1">
      <alignment horizontal="center"/>
    </xf>
    <xf numFmtId="0" fontId="13" fillId="6" borderId="118" xfId="0" applyFont="1" applyFill="1" applyBorder="1" applyAlignment="1">
      <alignment wrapText="1"/>
    </xf>
    <xf numFmtId="0" fontId="5" fillId="0" borderId="119" xfId="0" applyFont="1" applyBorder="1" applyAlignment="1">
      <alignment wrapText="1"/>
    </xf>
    <xf numFmtId="0" fontId="13" fillId="7" borderId="120" xfId="0" applyFont="1" applyFill="1" applyBorder="1" applyAlignment="1">
      <alignment wrapText="1"/>
    </xf>
    <xf numFmtId="0" fontId="13" fillId="8" borderId="120" xfId="0" applyFont="1" applyFill="1" applyBorder="1" applyAlignment="1">
      <alignment wrapText="1"/>
    </xf>
    <xf numFmtId="0" fontId="13" fillId="9" borderId="120" xfId="0" applyFont="1" applyFill="1" applyBorder="1" applyAlignment="1">
      <alignment wrapText="1"/>
    </xf>
    <xf numFmtId="0" fontId="13" fillId="10" borderId="120" xfId="0" applyFont="1" applyFill="1" applyBorder="1" applyAlignment="1">
      <alignment wrapText="1"/>
    </xf>
    <xf numFmtId="0" fontId="5" fillId="0" borderId="121" xfId="0" applyFont="1" applyBorder="1" applyAlignment="1">
      <alignment wrapText="1"/>
    </xf>
    <xf numFmtId="0" fontId="13" fillId="4" borderId="122" xfId="0" applyFont="1" applyFill="1" applyBorder="1" applyAlignment="1">
      <alignment wrapText="1"/>
    </xf>
    <xf numFmtId="171" fontId="5" fillId="4" borderId="123" xfId="0" applyNumberFormat="1" applyFont="1" applyFill="1" applyBorder="1" applyAlignment="1">
      <alignment horizontal="right" wrapText="1"/>
    </xf>
    <xf numFmtId="0" fontId="0" fillId="0" borderId="124" xfId="0" applyBorder="1" applyAlignment="1">
      <alignment horizontal="center"/>
    </xf>
    <xf numFmtId="171" fontId="2" fillId="0" borderId="125" xfId="0" applyNumberFormat="1" applyFont="1" applyBorder="1" applyAlignment="1">
      <alignment horizontal="center"/>
    </xf>
    <xf numFmtId="171" fontId="2" fillId="0" borderId="126" xfId="0" applyNumberFormat="1" applyFont="1" applyBorder="1" applyAlignment="1">
      <alignment horizontal="center"/>
    </xf>
    <xf numFmtId="0" fontId="0" fillId="0" borderId="127" xfId="0" applyBorder="1" applyAlignment="1">
      <alignment horizontal="center"/>
    </xf>
    <xf numFmtId="0" fontId="0" fillId="0" borderId="128" xfId="0" applyBorder="1" applyAlignment="1">
      <alignment horizontal="center"/>
    </xf>
    <xf numFmtId="171" fontId="0" fillId="0" borderId="129" xfId="0" applyNumberFormat="1" applyBorder="1" applyAlignment="1">
      <alignment horizontal="center"/>
    </xf>
    <xf numFmtId="0" fontId="0" fillId="0" borderId="130" xfId="0" applyBorder="1" applyAlignment="1">
      <alignment horizontal="center"/>
    </xf>
    <xf numFmtId="0" fontId="0" fillId="0" borderId="131" xfId="0" applyBorder="1" applyAlignment="1">
      <alignment horizontal="center"/>
    </xf>
    <xf numFmtId="0" fontId="13" fillId="11" borderId="132" xfId="0" applyFont="1" applyFill="1" applyBorder="1" applyAlignment="1">
      <alignment wrapText="1"/>
    </xf>
    <xf numFmtId="0" fontId="13" fillId="6" borderId="22" xfId="0" applyFont="1" applyFill="1" applyBorder="1" applyAlignment="1">
      <alignment wrapText="1"/>
    </xf>
    <xf numFmtId="0" fontId="13" fillId="12" borderId="22" xfId="0" applyFont="1" applyFill="1" applyBorder="1" applyAlignment="1">
      <alignment wrapText="1"/>
    </xf>
    <xf numFmtId="0" fontId="13" fillId="13" borderId="133" xfId="0" applyFont="1" applyFill="1" applyBorder="1" applyAlignment="1">
      <alignment wrapText="1"/>
    </xf>
    <xf numFmtId="0" fontId="13" fillId="8" borderId="133" xfId="0" applyFont="1" applyFill="1" applyBorder="1" applyAlignment="1">
      <alignment wrapText="1"/>
    </xf>
    <xf numFmtId="0" fontId="13" fillId="14" borderId="134" xfId="0" applyFont="1" applyFill="1" applyBorder="1" applyAlignment="1">
      <alignment wrapText="1"/>
    </xf>
    <xf numFmtId="171" fontId="3" fillId="15" borderId="135" xfId="0" applyNumberFormat="1" applyFont="1" applyFill="1" applyBorder="1" applyAlignment="1">
      <alignment horizontal="center" wrapText="1"/>
    </xf>
    <xf numFmtId="0" fontId="13" fillId="3" borderId="136" xfId="0" applyFont="1" applyFill="1" applyBorder="1" applyAlignment="1">
      <alignment wrapText="1"/>
    </xf>
    <xf numFmtId="0" fontId="0" fillId="0" borderId="18" xfId="0" applyBorder="1" applyAlignment="1">
      <alignment/>
    </xf>
    <xf numFmtId="0" fontId="0" fillId="0" borderId="137" xfId="0" applyBorder="1" applyAlignment="1">
      <alignment/>
    </xf>
    <xf numFmtId="0" fontId="45" fillId="0" borderId="137" xfId="0" applyFont="1" applyBorder="1" applyAlignment="1">
      <alignment/>
    </xf>
    <xf numFmtId="0" fontId="0" fillId="0" borderId="0" xfId="0" applyBorder="1" applyAlignment="1" applyProtection="1">
      <alignment horizontal="center"/>
      <protection/>
    </xf>
    <xf numFmtId="169" fontId="0" fillId="0" borderId="138" xfId="0" applyNumberFormat="1" applyBorder="1" applyAlignment="1">
      <alignment horizontal="center"/>
    </xf>
    <xf numFmtId="0" fontId="0" fillId="0" borderId="0" xfId="0" applyBorder="1" applyAlignment="1">
      <alignment horizontal="center"/>
    </xf>
    <xf numFmtId="0" fontId="0" fillId="0" borderId="37" xfId="0" applyBorder="1" applyAlignment="1" applyProtection="1">
      <alignment horizontal="center"/>
      <protection/>
    </xf>
    <xf numFmtId="169" fontId="0" fillId="0" borderId="139" xfId="0" applyNumberFormat="1" applyBorder="1" applyAlignment="1">
      <alignment horizontal="center"/>
    </xf>
    <xf numFmtId="169" fontId="0" fillId="0" borderId="112" xfId="0" applyNumberFormat="1" applyBorder="1" applyAlignment="1">
      <alignment horizontal="center"/>
    </xf>
    <xf numFmtId="169" fontId="0" fillId="0" borderId="113" xfId="0" applyNumberFormat="1" applyBorder="1" applyAlignment="1">
      <alignment horizontal="center"/>
    </xf>
    <xf numFmtId="2" fontId="0" fillId="0" borderId="0" xfId="0" applyNumberFormat="1" applyBorder="1" applyAlignment="1" applyProtection="1">
      <alignment horizontal="center"/>
      <protection/>
    </xf>
    <xf numFmtId="2" fontId="0" fillId="0" borderId="37" xfId="0" applyNumberFormat="1" applyBorder="1" applyAlignment="1" applyProtection="1">
      <alignment horizontal="center"/>
      <protection/>
    </xf>
    <xf numFmtId="0" fontId="13" fillId="10" borderId="106" xfId="0" applyFont="1" applyFill="1" applyBorder="1" applyAlignment="1">
      <alignment wrapText="1"/>
    </xf>
    <xf numFmtId="0" fontId="13" fillId="16" borderId="140" xfId="0" applyFont="1" applyFill="1" applyBorder="1" applyAlignment="1">
      <alignment wrapText="1"/>
    </xf>
    <xf numFmtId="0" fontId="0" fillId="0" borderId="138" xfId="0" applyBorder="1" applyAlignment="1">
      <alignment/>
    </xf>
    <xf numFmtId="0" fontId="0" fillId="0" borderId="113" xfId="0" applyBorder="1" applyAlignment="1">
      <alignment/>
    </xf>
    <xf numFmtId="0" fontId="33" fillId="0" borderId="114" xfId="0" applyFont="1" applyBorder="1" applyAlignment="1">
      <alignment wrapText="1"/>
    </xf>
    <xf numFmtId="0" fontId="52" fillId="4" borderId="141" xfId="0" applyFont="1" applyFill="1" applyBorder="1" applyAlignment="1" applyProtection="1">
      <alignment/>
      <protection locked="0"/>
    </xf>
    <xf numFmtId="0" fontId="52" fillId="2" borderId="141" xfId="0" applyFont="1" applyFill="1" applyBorder="1" applyAlignment="1" applyProtection="1">
      <alignment/>
      <protection locked="0"/>
    </xf>
    <xf numFmtId="169" fontId="52" fillId="0" borderId="142" xfId="0" applyNumberFormat="1" applyFont="1" applyBorder="1" applyAlignment="1">
      <alignment horizontal="center" wrapText="1"/>
    </xf>
    <xf numFmtId="169" fontId="52" fillId="0" borderId="143" xfId="0" applyNumberFormat="1" applyFont="1" applyBorder="1" applyAlignment="1">
      <alignment horizontal="center"/>
    </xf>
    <xf numFmtId="1" fontId="3" fillId="2" borderId="144" xfId="0" applyNumberFormat="1" applyFont="1" applyFill="1" applyBorder="1" applyAlignment="1" applyProtection="1">
      <alignment horizontal="center"/>
      <protection locked="0"/>
    </xf>
    <xf numFmtId="1" fontId="3" fillId="2" borderId="145" xfId="0" applyNumberFormat="1" applyFont="1" applyFill="1" applyBorder="1" applyAlignment="1" applyProtection="1">
      <alignment horizontal="center"/>
      <protection locked="0"/>
    </xf>
    <xf numFmtId="1" fontId="3" fillId="2" borderId="146" xfId="0" applyNumberFormat="1" applyFont="1" applyFill="1" applyBorder="1" applyAlignment="1" applyProtection="1">
      <alignment horizontal="center"/>
      <protection locked="0"/>
    </xf>
    <xf numFmtId="0" fontId="52" fillId="4" borderId="147" xfId="0" applyFont="1" applyFill="1" applyBorder="1" applyAlignment="1" applyProtection="1">
      <alignment/>
      <protection locked="0"/>
    </xf>
    <xf numFmtId="0" fontId="52" fillId="4" borderId="148" xfId="0" applyFont="1" applyFill="1" applyBorder="1" applyAlignment="1" applyProtection="1">
      <alignment/>
      <protection locked="0"/>
    </xf>
    <xf numFmtId="0" fontId="52" fillId="4" borderId="149" xfId="0" applyFont="1" applyFill="1" applyBorder="1" applyAlignment="1" applyProtection="1">
      <alignment/>
      <protection locked="0"/>
    </xf>
    <xf numFmtId="0" fontId="52" fillId="4" borderId="150" xfId="0" applyFont="1" applyFill="1" applyBorder="1" applyAlignment="1" applyProtection="1">
      <alignment/>
      <protection locked="0"/>
    </xf>
    <xf numFmtId="0" fontId="52" fillId="4" borderId="151" xfId="0" applyFont="1" applyFill="1" applyBorder="1" applyAlignment="1" applyProtection="1">
      <alignment/>
      <protection locked="0"/>
    </xf>
    <xf numFmtId="0" fontId="52" fillId="4" borderId="152" xfId="0" applyFont="1" applyFill="1" applyBorder="1" applyAlignment="1" applyProtection="1">
      <alignment/>
      <protection locked="0"/>
    </xf>
    <xf numFmtId="0" fontId="52" fillId="2" borderId="150" xfId="0" applyFont="1" applyFill="1" applyBorder="1" applyAlignment="1" applyProtection="1">
      <alignment/>
      <protection locked="0"/>
    </xf>
    <xf numFmtId="0" fontId="52" fillId="2" borderId="151" xfId="0" applyFont="1" applyFill="1" applyBorder="1" applyAlignment="1" applyProtection="1">
      <alignment/>
      <protection locked="0"/>
    </xf>
    <xf numFmtId="0" fontId="52" fillId="2" borderId="152" xfId="0" applyFont="1" applyFill="1" applyBorder="1" applyAlignment="1" applyProtection="1">
      <alignment/>
      <protection locked="0"/>
    </xf>
    <xf numFmtId="0" fontId="52" fillId="2" borderId="153" xfId="0" applyFont="1" applyFill="1" applyBorder="1" applyAlignment="1" applyProtection="1">
      <alignment/>
      <protection locked="0"/>
    </xf>
    <xf numFmtId="0" fontId="52" fillId="2" borderId="154" xfId="0" applyFont="1" applyFill="1" applyBorder="1" applyAlignment="1" applyProtection="1">
      <alignment/>
      <protection locked="0"/>
    </xf>
    <xf numFmtId="0" fontId="52" fillId="2" borderId="155" xfId="0" applyFont="1" applyFill="1" applyBorder="1" applyAlignment="1" applyProtection="1">
      <alignment/>
      <protection locked="0"/>
    </xf>
    <xf numFmtId="2" fontId="52" fillId="0" borderId="156" xfId="0" applyNumberFormat="1" applyFont="1" applyBorder="1" applyAlignment="1">
      <alignment horizontal="center" wrapText="1"/>
    </xf>
    <xf numFmtId="2" fontId="52" fillId="0" borderId="157" xfId="0" applyNumberFormat="1" applyFont="1" applyBorder="1" applyAlignment="1">
      <alignment horizontal="center" wrapText="1"/>
    </xf>
    <xf numFmtId="2" fontId="52" fillId="0" borderId="158" xfId="0" applyNumberFormat="1" applyFont="1" applyBorder="1" applyAlignment="1">
      <alignment horizontal="center" wrapText="1"/>
    </xf>
    <xf numFmtId="0" fontId="13" fillId="14" borderId="159" xfId="0" applyFont="1" applyFill="1" applyBorder="1" applyAlignment="1">
      <alignment wrapText="1"/>
    </xf>
    <xf numFmtId="169" fontId="52" fillId="0" borderId="157" xfId="0" applyNumberFormat="1" applyFont="1" applyBorder="1" applyAlignment="1">
      <alignment horizontal="center"/>
    </xf>
    <xf numFmtId="169" fontId="52" fillId="0" borderId="158" xfId="0" applyNumberFormat="1" applyFont="1" applyBorder="1" applyAlignment="1">
      <alignment horizontal="center"/>
    </xf>
    <xf numFmtId="169" fontId="52" fillId="0" borderId="160" xfId="0" applyNumberFormat="1" applyFont="1" applyBorder="1" applyAlignment="1">
      <alignment horizontal="center" wrapText="1"/>
    </xf>
    <xf numFmtId="169" fontId="52" fillId="0" borderId="161" xfId="0" applyNumberFormat="1" applyFont="1" applyBorder="1" applyAlignment="1">
      <alignment horizontal="center" wrapText="1"/>
    </xf>
    <xf numFmtId="169" fontId="52" fillId="0" borderId="162" xfId="0" applyNumberFormat="1" applyFont="1" applyBorder="1" applyAlignment="1">
      <alignment horizontal="center"/>
    </xf>
    <xf numFmtId="169" fontId="52" fillId="0" borderId="142" xfId="0" applyNumberFormat="1" applyFont="1" applyBorder="1" applyAlignment="1">
      <alignment horizontal="center"/>
    </xf>
    <xf numFmtId="0" fontId="52" fillId="2" borderId="142" xfId="0" applyFont="1" applyFill="1" applyBorder="1" applyAlignment="1" applyProtection="1">
      <alignment/>
      <protection locked="0"/>
    </xf>
    <xf numFmtId="169" fontId="52" fillId="0" borderId="156" xfId="0" applyNumberFormat="1" applyFont="1" applyBorder="1" applyAlignment="1">
      <alignment horizontal="center" wrapText="1"/>
    </xf>
    <xf numFmtId="169" fontId="52" fillId="0" borderId="163" xfId="0" applyNumberFormat="1" applyFont="1" applyBorder="1" applyAlignment="1">
      <alignment horizontal="center" wrapText="1"/>
    </xf>
    <xf numFmtId="169" fontId="52" fillId="0" borderId="137" xfId="0" applyNumberFormat="1" applyFont="1" applyBorder="1" applyAlignment="1">
      <alignment horizontal="center" wrapText="1"/>
    </xf>
    <xf numFmtId="171" fontId="64" fillId="0" borderId="164" xfId="0" applyNumberFormat="1" applyFont="1" applyBorder="1" applyAlignment="1">
      <alignment vertical="top" wrapText="1"/>
    </xf>
    <xf numFmtId="171" fontId="64" fillId="0" borderId="165" xfId="0" applyNumberFormat="1" applyFont="1" applyBorder="1" applyAlignment="1">
      <alignment vertical="top" wrapText="1"/>
    </xf>
    <xf numFmtId="171" fontId="64" fillId="0" borderId="166" xfId="0" applyNumberFormat="1" applyFont="1" applyBorder="1" applyAlignment="1">
      <alignment vertical="top" wrapText="1"/>
    </xf>
    <xf numFmtId="171" fontId="64" fillId="0" borderId="167" xfId="0" applyNumberFormat="1" applyFont="1" applyBorder="1" applyAlignment="1">
      <alignment vertical="top" wrapText="1"/>
    </xf>
    <xf numFmtId="0" fontId="13" fillId="11" borderId="168" xfId="0" applyFont="1" applyFill="1" applyBorder="1" applyAlignment="1">
      <alignment wrapText="1"/>
    </xf>
    <xf numFmtId="0" fontId="13" fillId="15" borderId="159" xfId="0" applyFont="1" applyFill="1" applyBorder="1" applyAlignment="1">
      <alignment horizontal="center" vertical="top" wrapText="1"/>
    </xf>
    <xf numFmtId="0" fontId="13" fillId="17" borderId="169" xfId="0" applyFont="1" applyFill="1" applyBorder="1" applyAlignment="1">
      <alignment horizontal="center" wrapText="1"/>
    </xf>
    <xf numFmtId="0" fontId="13" fillId="8" borderId="170" xfId="0" applyFont="1" applyFill="1" applyBorder="1" applyAlignment="1">
      <alignment horizontal="center" wrapText="1"/>
    </xf>
    <xf numFmtId="0" fontId="13" fillId="18" borderId="171" xfId="0" applyFont="1" applyFill="1" applyBorder="1" applyAlignment="1">
      <alignment horizontal="center" wrapText="1"/>
    </xf>
    <xf numFmtId="169" fontId="65" fillId="2" borderId="19" xfId="0" applyNumberFormat="1" applyFont="1" applyFill="1" applyBorder="1" applyAlignment="1">
      <alignment horizontal="center"/>
    </xf>
    <xf numFmtId="169" fontId="65" fillId="2" borderId="172" xfId="0" applyNumberFormat="1" applyFont="1" applyFill="1" applyBorder="1" applyAlignment="1">
      <alignment horizontal="center"/>
    </xf>
    <xf numFmtId="0" fontId="0" fillId="0" borderId="173" xfId="0" applyBorder="1" applyAlignment="1">
      <alignment/>
    </xf>
    <xf numFmtId="0" fontId="48" fillId="2" borderId="174" xfId="0" applyFont="1" applyFill="1" applyBorder="1" applyAlignment="1">
      <alignment horizontal="center"/>
    </xf>
    <xf numFmtId="1" fontId="66" fillId="2" borderId="175" xfId="0" applyNumberFormat="1" applyFont="1" applyFill="1" applyBorder="1" applyAlignment="1">
      <alignment horizontal="center"/>
    </xf>
    <xf numFmtId="1" fontId="68" fillId="2" borderId="176" xfId="0" applyNumberFormat="1" applyFont="1" applyFill="1" applyBorder="1" applyAlignment="1">
      <alignment horizontal="center"/>
    </xf>
    <xf numFmtId="1" fontId="3" fillId="0" borderId="177" xfId="0" applyNumberFormat="1" applyFont="1" applyFill="1" applyBorder="1" applyAlignment="1" applyProtection="1">
      <alignment horizontal="center"/>
      <protection locked="0"/>
    </xf>
    <xf numFmtId="0" fontId="3" fillId="0" borderId="178" xfId="0" applyFont="1" applyFill="1" applyBorder="1" applyAlignment="1" applyProtection="1">
      <alignment horizontal="center"/>
      <protection locked="0"/>
    </xf>
    <xf numFmtId="0" fontId="3" fillId="0" borderId="179" xfId="0" applyFont="1" applyFill="1" applyBorder="1" applyAlignment="1" applyProtection="1">
      <alignment horizontal="center"/>
      <protection locked="0"/>
    </xf>
    <xf numFmtId="169" fontId="65" fillId="2" borderId="180" xfId="0" applyNumberFormat="1" applyFont="1" applyFill="1" applyBorder="1" applyAlignment="1">
      <alignment horizontal="center"/>
    </xf>
    <xf numFmtId="1" fontId="67" fillId="2" borderId="181" xfId="0" applyNumberFormat="1" applyFont="1" applyFill="1" applyBorder="1" applyAlignment="1">
      <alignment horizontal="center"/>
    </xf>
    <xf numFmtId="0" fontId="51" fillId="0" borderId="0" xfId="20" applyFont="1" applyAlignment="1" applyProtection="1">
      <alignment/>
      <protection locked="0"/>
    </xf>
    <xf numFmtId="0" fontId="14" fillId="0" borderId="0" xfId="20" applyAlignment="1" applyProtection="1">
      <alignment/>
      <protection locked="0"/>
    </xf>
    <xf numFmtId="0" fontId="0" fillId="0" borderId="62" xfId="0" applyBorder="1" applyAlignment="1">
      <alignment wrapText="1"/>
    </xf>
    <xf numFmtId="0" fontId="40" fillId="0" borderId="0" xfId="0" applyFont="1" applyBorder="1" applyAlignment="1">
      <alignment horizontal="left" wrapText="1"/>
    </xf>
    <xf numFmtId="0" fontId="40" fillId="0" borderId="61" xfId="0" applyFont="1" applyBorder="1" applyAlignment="1">
      <alignment horizontal="left" wrapText="1"/>
    </xf>
    <xf numFmtId="0" fontId="39" fillId="0" borderId="71" xfId="0" applyFont="1" applyBorder="1" applyAlignment="1">
      <alignment horizontal="left" wrapText="1"/>
    </xf>
    <xf numFmtId="0" fontId="0" fillId="0" borderId="182" xfId="0" applyBorder="1" applyAlignment="1">
      <alignment/>
    </xf>
    <xf numFmtId="0" fontId="39" fillId="0" borderId="183" xfId="0" applyFont="1" applyBorder="1" applyAlignment="1">
      <alignment horizontal="center" wrapText="1"/>
    </xf>
    <xf numFmtId="0" fontId="0" fillId="0" borderId="0" xfId="0" applyBorder="1" applyAlignment="1">
      <alignment horizontal="center" wrapText="1"/>
    </xf>
    <xf numFmtId="0" fontId="4" fillId="0" borderId="0" xfId="0" applyFont="1" applyAlignment="1">
      <alignment wrapText="1"/>
    </xf>
    <xf numFmtId="0" fontId="4" fillId="0" borderId="184" xfId="0" applyFont="1" applyBorder="1" applyAlignment="1">
      <alignment wrapText="1"/>
    </xf>
    <xf numFmtId="0" fontId="14" fillId="0" borderId="0" xfId="20" applyAlignment="1" applyProtection="1">
      <alignment horizontal="center"/>
      <protection locked="0"/>
    </xf>
    <xf numFmtId="0" fontId="51" fillId="0" borderId="185" xfId="20" applyFont="1" applyBorder="1" applyAlignment="1" applyProtection="1">
      <alignment/>
      <protection locked="0"/>
    </xf>
    <xf numFmtId="0" fontId="51" fillId="0" borderId="0" xfId="20" applyFont="1" applyFill="1" applyBorder="1" applyAlignment="1" applyProtection="1">
      <alignment/>
      <protection locked="0"/>
    </xf>
    <xf numFmtId="0" fontId="14" fillId="0" borderId="0" xfId="20" applyFont="1" applyAlignment="1" applyProtection="1">
      <alignment/>
      <protection locked="0"/>
    </xf>
    <xf numFmtId="0" fontId="18" fillId="0" borderId="0" xfId="0" applyNumberFormat="1" applyFont="1" applyAlignment="1">
      <alignment wrapText="1"/>
    </xf>
    <xf numFmtId="0" fontId="18" fillId="0" borderId="0" xfId="0" applyFont="1" applyAlignment="1">
      <alignment/>
    </xf>
    <xf numFmtId="0" fontId="4" fillId="0" borderId="183" xfId="0" applyFont="1" applyBorder="1" applyAlignment="1">
      <alignment wrapText="1"/>
    </xf>
    <xf numFmtId="0" fontId="0" fillId="0" borderId="0" xfId="0" applyAlignment="1">
      <alignment wrapText="1"/>
    </xf>
    <xf numFmtId="0" fontId="4" fillId="0" borderId="186" xfId="0" applyFont="1" applyBorder="1" applyAlignment="1">
      <alignment wrapText="1"/>
    </xf>
    <xf numFmtId="0" fontId="0" fillId="0" borderId="66" xfId="0" applyBorder="1" applyAlignment="1">
      <alignment wrapText="1"/>
    </xf>
    <xf numFmtId="0" fontId="4" fillId="0" borderId="187" xfId="0" applyFont="1" applyBorder="1" applyAlignment="1">
      <alignment wrapText="1"/>
    </xf>
    <xf numFmtId="0" fontId="0" fillId="0" borderId="188" xfId="0" applyBorder="1" applyAlignment="1">
      <alignment wrapText="1"/>
    </xf>
    <xf numFmtId="0" fontId="0" fillId="0" borderId="0" xfId="0" applyBorder="1" applyAlignment="1">
      <alignment horizontal="left" wrapText="1"/>
    </xf>
    <xf numFmtId="0" fontId="0" fillId="0" borderId="0" xfId="0" applyAlignment="1">
      <alignment horizontal="left" wrapText="1"/>
    </xf>
    <xf numFmtId="0" fontId="4" fillId="0" borderId="71" xfId="0" applyFont="1" applyBorder="1" applyAlignment="1">
      <alignment horizontal="left" wrapText="1"/>
    </xf>
    <xf numFmtId="0" fontId="14" fillId="0" borderId="0" xfId="20" applyAlignment="1" applyProtection="1">
      <alignment vertical="top" wrapText="1"/>
      <protection locked="0"/>
    </xf>
    <xf numFmtId="0" fontId="0" fillId="0" borderId="0" xfId="0" applyAlignment="1" applyProtection="1">
      <alignment wrapText="1"/>
      <protection/>
    </xf>
    <xf numFmtId="0" fontId="18" fillId="0" borderId="0" xfId="0" applyFont="1" applyAlignment="1" applyProtection="1">
      <alignment vertical="top" wrapText="1"/>
      <protection/>
    </xf>
    <xf numFmtId="0" fontId="0" fillId="0" borderId="0" xfId="0" applyAlignment="1">
      <alignment vertical="top" wrapText="1"/>
    </xf>
    <xf numFmtId="0" fontId="0" fillId="0" borderId="0" xfId="0" applyAlignment="1">
      <alignment/>
    </xf>
    <xf numFmtId="0" fontId="0" fillId="0" borderId="3" xfId="0" applyBorder="1" applyAlignment="1" applyProtection="1">
      <alignment wrapText="1"/>
      <protection/>
    </xf>
    <xf numFmtId="0" fontId="0" fillId="0" borderId="0" xfId="0" applyBorder="1" applyAlignment="1" applyProtection="1">
      <alignment wrapText="1"/>
      <protection/>
    </xf>
    <xf numFmtId="0" fontId="0" fillId="0" borderId="15" xfId="0" applyBorder="1" applyAlignment="1" applyProtection="1">
      <alignment wrapText="1"/>
      <protection/>
    </xf>
    <xf numFmtId="0" fontId="0" fillId="0" borderId="15" xfId="0" applyBorder="1" applyAlignment="1" applyProtection="1">
      <alignment/>
      <protection/>
    </xf>
    <xf numFmtId="0" fontId="0" fillId="0" borderId="189" xfId="0" applyBorder="1" applyAlignment="1" applyProtection="1">
      <alignment wrapText="1"/>
      <protection/>
    </xf>
    <xf numFmtId="0" fontId="0" fillId="0" borderId="14" xfId="0" applyBorder="1" applyAlignment="1" applyProtection="1">
      <alignment wrapText="1"/>
      <protection/>
    </xf>
    <xf numFmtId="0" fontId="0" fillId="0" borderId="31" xfId="0" applyBorder="1" applyAlignment="1" applyProtection="1">
      <alignment/>
      <protection/>
    </xf>
    <xf numFmtId="0" fontId="2" fillId="0" borderId="56" xfId="0" applyFont="1" applyBorder="1" applyAlignment="1" applyProtection="1">
      <alignment wrapText="1"/>
      <protection/>
    </xf>
    <xf numFmtId="0" fontId="2" fillId="0" borderId="37" xfId="0" applyFont="1" applyBorder="1" applyAlignment="1" applyProtection="1">
      <alignment wrapText="1"/>
      <protection/>
    </xf>
    <xf numFmtId="0" fontId="0" fillId="0" borderId="46" xfId="0" applyBorder="1" applyAlignment="1" applyProtection="1">
      <alignment vertical="top" wrapText="1"/>
      <protection/>
    </xf>
    <xf numFmtId="0" fontId="0" fillId="0" borderId="0" xfId="0" applyBorder="1" applyAlignment="1" applyProtection="1">
      <alignment vertical="top" wrapText="1"/>
      <protection/>
    </xf>
    <xf numFmtId="0" fontId="2" fillId="0" borderId="36" xfId="0" applyFont="1" applyBorder="1" applyAlignment="1" applyProtection="1">
      <alignment wrapText="1"/>
      <protection/>
    </xf>
    <xf numFmtId="0" fontId="0" fillId="0" borderId="0" xfId="0" applyBorder="1" applyAlignment="1">
      <alignment/>
    </xf>
    <xf numFmtId="0" fontId="0" fillId="0" borderId="14" xfId="0" applyBorder="1" applyAlignment="1">
      <alignment/>
    </xf>
    <xf numFmtId="0" fontId="23" fillId="0" borderId="189" xfId="0" applyFont="1" applyBorder="1" applyAlignment="1">
      <alignment wrapText="1"/>
    </xf>
    <xf numFmtId="0" fontId="23" fillId="0" borderId="3" xfId="0" applyFont="1" applyBorder="1" applyAlignment="1">
      <alignment wrapText="1"/>
    </xf>
    <xf numFmtId="0" fontId="0" fillId="0" borderId="0" xfId="0" applyBorder="1" applyAlignment="1">
      <alignment wrapText="1"/>
    </xf>
    <xf numFmtId="0" fontId="0" fillId="0" borderId="190" xfId="0" applyBorder="1" applyAlignment="1" applyProtection="1">
      <alignment wrapText="1"/>
      <protection/>
    </xf>
    <xf numFmtId="0" fontId="0" fillId="0" borderId="12" xfId="0" applyBorder="1" applyAlignment="1" applyProtection="1">
      <alignment wrapText="1"/>
      <protection/>
    </xf>
    <xf numFmtId="0" fontId="2" fillId="0" borderId="46" xfId="0" applyFont="1" applyBorder="1" applyAlignment="1" applyProtection="1">
      <alignment wrapText="1"/>
      <protection/>
    </xf>
    <xf numFmtId="0" fontId="2" fillId="0" borderId="0" xfId="0" applyFont="1" applyBorder="1" applyAlignment="1" applyProtection="1">
      <alignment wrapText="1"/>
      <protection/>
    </xf>
    <xf numFmtId="0" fontId="0" fillId="0" borderId="46" xfId="0" applyBorder="1" applyAlignment="1" applyProtection="1">
      <alignment wrapText="1"/>
      <protection/>
    </xf>
    <xf numFmtId="0" fontId="33" fillId="0" borderId="36" xfId="0" applyFont="1" applyBorder="1" applyAlignment="1">
      <alignment wrapText="1"/>
    </xf>
    <xf numFmtId="0" fontId="33" fillId="0" borderId="0" xfId="0" applyFont="1" applyBorder="1" applyAlignment="1">
      <alignment wrapText="1"/>
    </xf>
    <xf numFmtId="0" fontId="34" fillId="0" borderId="36" xfId="0" applyFont="1" applyBorder="1" applyAlignment="1">
      <alignment/>
    </xf>
    <xf numFmtId="0" fontId="34" fillId="0" borderId="0" xfId="0" applyFont="1" applyBorder="1" applyAlignment="1">
      <alignment/>
    </xf>
    <xf numFmtId="0" fontId="34" fillId="0" borderId="32" xfId="0" applyFont="1" applyBorder="1" applyAlignment="1">
      <alignment/>
    </xf>
    <xf numFmtId="0" fontId="0" fillId="0" borderId="6" xfId="0" applyBorder="1" applyAlignment="1" applyProtection="1">
      <alignment wrapText="1"/>
      <protection/>
    </xf>
    <xf numFmtId="0" fontId="3" fillId="0" borderId="0" xfId="0" applyFont="1" applyAlignment="1">
      <alignment horizontal="center"/>
    </xf>
    <xf numFmtId="0" fontId="0" fillId="0" borderId="0" xfId="0" applyAlignment="1">
      <alignment horizontal="center"/>
    </xf>
    <xf numFmtId="0" fontId="5" fillId="0" borderId="191" xfId="0" applyFont="1" applyBorder="1" applyAlignment="1">
      <alignment wrapText="1"/>
    </xf>
    <xf numFmtId="0" fontId="0" fillId="0" borderId="191" xfId="0" applyBorder="1" applyAlignment="1">
      <alignment wrapText="1"/>
    </xf>
    <xf numFmtId="0" fontId="6" fillId="0" borderId="0" xfId="0" applyFont="1" applyAlignment="1">
      <alignment wrapText="1"/>
    </xf>
    <xf numFmtId="0" fontId="0" fillId="0" borderId="0" xfId="0" applyAlignment="1">
      <alignment vertical="top"/>
    </xf>
    <xf numFmtId="0" fontId="2" fillId="0" borderId="192" xfId="0" applyFont="1" applyBorder="1" applyAlignment="1" applyProtection="1">
      <alignment vertical="top" wrapText="1"/>
      <protection/>
    </xf>
    <xf numFmtId="0" fontId="0" fillId="0" borderId="109" xfId="0" applyBorder="1" applyAlignment="1">
      <alignment vertical="top"/>
    </xf>
    <xf numFmtId="0" fontId="47" fillId="0" borderId="161" xfId="0" applyFont="1" applyBorder="1" applyAlignment="1">
      <alignment horizontal="center"/>
    </xf>
    <xf numFmtId="0" fontId="0" fillId="0" borderId="137" xfId="0" applyBorder="1" applyAlignment="1">
      <alignment/>
    </xf>
    <xf numFmtId="0" fontId="0" fillId="0" borderId="159" xfId="0" applyBorder="1" applyAlignment="1">
      <alignment/>
    </xf>
    <xf numFmtId="0" fontId="2" fillId="0" borderId="18" xfId="0" applyFont="1" applyBorder="1" applyAlignment="1">
      <alignment wrapText="1"/>
    </xf>
    <xf numFmtId="0" fontId="0" fillId="0" borderId="137" xfId="0" applyBorder="1" applyAlignment="1">
      <alignment wrapText="1"/>
    </xf>
    <xf numFmtId="0" fontId="0" fillId="0" borderId="19" xfId="0" applyBorder="1" applyAlignment="1">
      <alignment wrapText="1"/>
    </xf>
    <xf numFmtId="0" fontId="2" fillId="0" borderId="18" xfId="0" applyFont="1" applyBorder="1" applyAlignment="1">
      <alignment vertical="top" wrapText="1"/>
    </xf>
    <xf numFmtId="0" fontId="0" fillId="0" borderId="137" xfId="0" applyBorder="1" applyAlignment="1">
      <alignment vertical="top" wrapText="1"/>
    </xf>
    <xf numFmtId="0" fontId="0" fillId="0" borderId="19" xfId="0" applyBorder="1" applyAlignment="1">
      <alignment vertical="top" wrapText="1"/>
    </xf>
    <xf numFmtId="0" fontId="3" fillId="10" borderId="193" xfId="0" applyFont="1" applyFill="1" applyBorder="1" applyAlignment="1">
      <alignment horizontal="center" wrapText="1"/>
    </xf>
    <xf numFmtId="0" fontId="0" fillId="0" borderId="191" xfId="0" applyBorder="1" applyAlignment="1">
      <alignment horizontal="center" wrapText="1"/>
    </xf>
    <xf numFmtId="0" fontId="0" fillId="0" borderId="194" xfId="0" applyBorder="1" applyAlignment="1">
      <alignment horizontal="center" wrapText="1"/>
    </xf>
    <xf numFmtId="0" fontId="2" fillId="0" borderId="0" xfId="0" applyFont="1" applyAlignment="1">
      <alignment wrapText="1"/>
    </xf>
    <xf numFmtId="0" fontId="69" fillId="0" borderId="39" xfId="0" applyFont="1" applyBorder="1" applyAlignment="1" applyProtection="1">
      <alignment wrapText="1"/>
      <protection/>
    </xf>
    <xf numFmtId="0" fontId="70" fillId="0" borderId="39" xfId="0" applyFont="1" applyBorder="1" applyAlignment="1" applyProtection="1">
      <alignment wrapText="1"/>
      <protection/>
    </xf>
    <xf numFmtId="0" fontId="70" fillId="0" borderId="195" xfId="0" applyFont="1" applyBorder="1" applyAlignment="1">
      <alignment wrapText="1"/>
    </xf>
    <xf numFmtId="0" fontId="10" fillId="0" borderId="39" xfId="0" applyFont="1" applyBorder="1" applyAlignment="1" applyProtection="1">
      <alignment wrapText="1"/>
      <protection/>
    </xf>
    <xf numFmtId="0" fontId="71" fillId="0" borderId="39" xfId="0" applyFont="1" applyBorder="1" applyAlignment="1" applyProtection="1">
      <alignment wrapText="1"/>
      <protection/>
    </xf>
    <xf numFmtId="0" fontId="71" fillId="0" borderId="195" xfId="0" applyFont="1" applyBorder="1" applyAlignment="1">
      <alignment wrapText="1"/>
    </xf>
    <xf numFmtId="0" fontId="0" fillId="0" borderId="196" xfId="0" applyBorder="1" applyAlignment="1" applyProtection="1">
      <alignment/>
      <protection locked="0"/>
    </xf>
    <xf numFmtId="0" fontId="0" fillId="0" borderId="197" xfId="0" applyBorder="1" applyAlignment="1" applyProtection="1">
      <alignment/>
      <protection locked="0"/>
    </xf>
    <xf numFmtId="0" fontId="2" fillId="0" borderId="198" xfId="0" applyFont="1" applyBorder="1" applyAlignment="1" applyProtection="1">
      <alignment/>
      <protection locked="0"/>
    </xf>
    <xf numFmtId="0" fontId="0" fillId="0" borderId="199" xfId="0" applyFon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4">
    <dxf>
      <font>
        <b/>
        <i/>
        <color rgb="FFFF0000"/>
      </font>
      <border/>
    </dxf>
    <dxf>
      <font>
        <b/>
        <i val="0"/>
        <color rgb="FF008000"/>
      </font>
      <border/>
    </dxf>
    <dxf>
      <font>
        <b/>
        <i/>
        <color rgb="FFFF0000"/>
      </font>
      <fill>
        <patternFill>
          <bgColor rgb="FFFFFFFF"/>
        </patternFill>
      </fill>
      <border/>
    </dxf>
    <dxf>
      <fill>
        <patternFill>
          <bgColor rgb="FFC0C0C0"/>
        </patternFill>
      </fill>
      <border/>
    </dxf>
    <dxf>
      <font>
        <b/>
        <i val="0"/>
        <color rgb="FF008000"/>
      </font>
      <fill>
        <patternFill patternType="none">
          <bgColor indexed="65"/>
        </patternFill>
      </fill>
      <border/>
    </dxf>
    <dxf>
      <fill>
        <patternFill patternType="solid">
          <bgColor rgb="FFC0C0C0"/>
        </patternFill>
      </fill>
      <border/>
    </dxf>
    <dxf>
      <font>
        <b/>
        <i val="0"/>
        <color rgb="FF0000FF"/>
      </font>
      <border/>
    </dxf>
    <dxf>
      <fill>
        <patternFill>
          <bgColor rgb="FF339966"/>
        </patternFill>
      </fill>
      <border/>
    </dxf>
    <dxf>
      <fill>
        <patternFill>
          <bgColor rgb="FF3366FF"/>
        </patternFill>
      </fill>
      <border/>
    </dxf>
    <dxf>
      <font>
        <b/>
        <i val="0"/>
        <strike val="0"/>
        <color rgb="FF0000FF"/>
      </font>
      <fill>
        <patternFill patternType="none">
          <bgColor indexed="65"/>
        </patternFill>
      </fill>
      <border/>
    </dxf>
    <dxf>
      <font>
        <b/>
        <i/>
        <color auto="1"/>
      </font>
      <border/>
    </dxf>
    <dxf>
      <font>
        <b/>
        <i val="0"/>
        <color rgb="FFFFCC00"/>
      </font>
      <fill>
        <patternFill patternType="none">
          <bgColor indexed="65"/>
        </patternFill>
      </fill>
      <border/>
    </dxf>
    <dxf>
      <font>
        <b/>
        <i val="0"/>
        <color rgb="FFFF6600"/>
      </font>
      <fill>
        <patternFill patternType="none">
          <bgColor indexed="65"/>
        </patternFill>
      </fill>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ibrationdamage.com/" TargetMode="External" /><Relationship Id="rId3" Type="http://schemas.openxmlformats.org/officeDocument/2006/relationships/hyperlink" Target="http://vibrationdamage.com/" TargetMode="External" /><Relationship Id="rId4" Type="http://schemas.openxmlformats.org/officeDocument/2006/relationships/hyperlink" Target="http://vibrationdamage.com/" TargetMode="External" /><Relationship Id="rId5" Type="http://schemas.openxmlformats.org/officeDocument/2006/relationships/hyperlink" Target="http://vibrationdamage.com/" TargetMode="External" /><Relationship Id="rId6" Type="http://schemas.openxmlformats.org/officeDocument/2006/relationships/hyperlink" Target="http://vibrationdamage.com/" TargetMode="External" /><Relationship Id="rId7" Type="http://schemas.openxmlformats.org/officeDocument/2006/relationships/hyperlink" Target="http://vibrationdamage.com/" TargetMode="External" /><Relationship Id="rId8" Type="http://schemas.openxmlformats.org/officeDocument/2006/relationships/hyperlink" Target="http://vibrationdamage.com/" TargetMode="External" /><Relationship Id="rId9" Type="http://schemas.openxmlformats.org/officeDocument/2006/relationships/hyperlink" Target="http://vibrationdamage.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vibrationdamage.com/" TargetMode="External" /><Relationship Id="rId3" Type="http://schemas.openxmlformats.org/officeDocument/2006/relationships/hyperlink" Target="https://vibrationdamage.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vibrationdamage.com/" TargetMode="External" /><Relationship Id="rId3" Type="http://schemas.openxmlformats.org/officeDocument/2006/relationships/hyperlink" Target="https://vibrationdamag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0</xdr:row>
      <xdr:rowOff>66675</xdr:rowOff>
    </xdr:from>
    <xdr:to>
      <xdr:col>5</xdr:col>
      <xdr:colOff>352425</xdr:colOff>
      <xdr:row>2</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3048000" y="66675"/>
          <a:ext cx="952500" cy="476250"/>
        </a:xfrm>
        <a:prstGeom prst="rect">
          <a:avLst/>
        </a:prstGeom>
        <a:noFill/>
        <a:ln w="9525" cmpd="sng">
          <a:noFill/>
        </a:ln>
      </xdr:spPr>
    </xdr:pic>
    <xdr:clientData/>
  </xdr:twoCellAnchor>
  <xdr:twoCellAnchor editAs="oneCell">
    <xdr:from>
      <xdr:col>2</xdr:col>
      <xdr:colOff>457200</xdr:colOff>
      <xdr:row>28</xdr:row>
      <xdr:rowOff>76200</xdr:rowOff>
    </xdr:from>
    <xdr:to>
      <xdr:col>4</xdr:col>
      <xdr:colOff>76200</xdr:colOff>
      <xdr:row>30</xdr:row>
      <xdr:rowOff>114300</xdr:rowOff>
    </xdr:to>
    <xdr:pic>
      <xdr:nvPicPr>
        <xdr:cNvPr id="2" name="Picture 3">
          <a:hlinkClick r:id="rId5"/>
        </xdr:cNvPr>
        <xdr:cNvPicPr preferRelativeResize="1">
          <a:picLocks noChangeAspect="1"/>
        </xdr:cNvPicPr>
      </xdr:nvPicPr>
      <xdr:blipFill>
        <a:blip r:embed="rId1"/>
        <a:stretch>
          <a:fillRect/>
        </a:stretch>
      </xdr:blipFill>
      <xdr:spPr>
        <a:xfrm>
          <a:off x="2152650" y="8896350"/>
          <a:ext cx="952500" cy="457200"/>
        </a:xfrm>
        <a:prstGeom prst="rect">
          <a:avLst/>
        </a:prstGeom>
        <a:noFill/>
        <a:ln w="9525" cmpd="sng">
          <a:noFill/>
        </a:ln>
      </xdr:spPr>
    </xdr:pic>
    <xdr:clientData/>
  </xdr:twoCellAnchor>
  <xdr:twoCellAnchor editAs="oneCell">
    <xdr:from>
      <xdr:col>0</xdr:col>
      <xdr:colOff>361950</xdr:colOff>
      <xdr:row>8</xdr:row>
      <xdr:rowOff>133350</xdr:rowOff>
    </xdr:from>
    <xdr:to>
      <xdr:col>1</xdr:col>
      <xdr:colOff>704850</xdr:colOff>
      <xdr:row>8</xdr:row>
      <xdr:rowOff>609600</xdr:rowOff>
    </xdr:to>
    <xdr:pic>
      <xdr:nvPicPr>
        <xdr:cNvPr id="3" name="Picture 17">
          <a:hlinkClick r:id="rId7"/>
        </xdr:cNvPr>
        <xdr:cNvPicPr preferRelativeResize="1">
          <a:picLocks noChangeAspect="1"/>
        </xdr:cNvPicPr>
      </xdr:nvPicPr>
      <xdr:blipFill>
        <a:blip r:embed="rId1"/>
        <a:stretch>
          <a:fillRect/>
        </a:stretch>
      </xdr:blipFill>
      <xdr:spPr>
        <a:xfrm>
          <a:off x="361950" y="2038350"/>
          <a:ext cx="952500" cy="476250"/>
        </a:xfrm>
        <a:prstGeom prst="rect">
          <a:avLst/>
        </a:prstGeom>
        <a:noFill/>
        <a:ln w="9525" cmpd="sng">
          <a:noFill/>
        </a:ln>
      </xdr:spPr>
    </xdr:pic>
    <xdr:clientData/>
  </xdr:twoCellAnchor>
  <xdr:twoCellAnchor editAs="oneCell">
    <xdr:from>
      <xdr:col>10</xdr:col>
      <xdr:colOff>361950</xdr:colOff>
      <xdr:row>8</xdr:row>
      <xdr:rowOff>133350</xdr:rowOff>
    </xdr:from>
    <xdr:to>
      <xdr:col>11</xdr:col>
      <xdr:colOff>704850</xdr:colOff>
      <xdr:row>8</xdr:row>
      <xdr:rowOff>609600</xdr:rowOff>
    </xdr:to>
    <xdr:pic>
      <xdr:nvPicPr>
        <xdr:cNvPr id="4" name="Picture 18">
          <a:hlinkClick r:id="rId9"/>
        </xdr:cNvPr>
        <xdr:cNvPicPr preferRelativeResize="1">
          <a:picLocks noChangeAspect="1"/>
        </xdr:cNvPicPr>
      </xdr:nvPicPr>
      <xdr:blipFill>
        <a:blip r:embed="rId1"/>
        <a:stretch>
          <a:fillRect/>
        </a:stretch>
      </xdr:blipFill>
      <xdr:spPr>
        <a:xfrm>
          <a:off x="6724650" y="2038350"/>
          <a:ext cx="9525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66675</xdr:rowOff>
    </xdr:from>
    <xdr:to>
      <xdr:col>4</xdr:col>
      <xdr:colOff>323850</xdr:colOff>
      <xdr:row>2</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2781300" y="66675"/>
          <a:ext cx="9525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0</xdr:row>
      <xdr:rowOff>66675</xdr:rowOff>
    </xdr:from>
    <xdr:to>
      <xdr:col>6</xdr:col>
      <xdr:colOff>266700</xdr:colOff>
      <xdr:row>2</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752975" y="6667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brationdamage.com/vibration_and_distance.htm" TargetMode="External" /><Relationship Id="rId2" Type="http://schemas.openxmlformats.org/officeDocument/2006/relationships/hyperlink" Target="http://vibrationdamage.com/vibration_calculator.htm" TargetMode="External" /><Relationship Id="rId3" Type="http://schemas.openxmlformats.org/officeDocument/2006/relationships/hyperlink" Target="https://vibrationdamage.com/vibration_calculator.ht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vibrationdamage.com/vibration_calculator.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vibrationdamage.com/vibration_calculator.ht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03"/>
  <sheetViews>
    <sheetView tabSelected="1" workbookViewId="0" topLeftCell="A1">
      <selection activeCell="Q10" sqref="Q10:R10"/>
    </sheetView>
  </sheetViews>
  <sheetFormatPr defaultColWidth="9.140625" defaultRowHeight="12.75"/>
  <cols>
    <col min="2" max="2" width="16.28125" style="0" customWidth="1"/>
    <col min="3" max="4" width="10.00390625" style="0" bestFit="1" customWidth="1"/>
    <col min="5" max="5" width="9.28125" style="0" bestFit="1" customWidth="1"/>
    <col min="6" max="6" width="9.28125" style="0" customWidth="1"/>
    <col min="7" max="7" width="9.7109375" style="0" customWidth="1"/>
    <col min="9" max="9" width="11.140625" style="0" bestFit="1" customWidth="1"/>
    <col min="10" max="10" width="1.421875" style="0" customWidth="1"/>
    <col min="12" max="12" width="16.421875" style="0" customWidth="1"/>
    <col min="13" max="13" width="10.421875" style="0" customWidth="1"/>
    <col min="14" max="14" width="9.140625" style="1" customWidth="1"/>
    <col min="15" max="15" width="10.140625" style="0" customWidth="1"/>
    <col min="16" max="16" width="9.57421875" style="0" bestFit="1" customWidth="1"/>
    <col min="19" max="19" width="10.7109375" style="0" customWidth="1"/>
    <col min="21" max="21" width="7.7109375" style="0" customWidth="1"/>
  </cols>
  <sheetData>
    <row r="1" spans="1:22" ht="12.75">
      <c r="A1" s="2"/>
      <c r="B1" s="2"/>
      <c r="C1" s="2"/>
      <c r="D1" s="2"/>
      <c r="E1" s="2"/>
      <c r="F1" s="2"/>
      <c r="G1" s="2"/>
      <c r="H1" s="2"/>
      <c r="I1" s="2"/>
      <c r="J1" s="2"/>
      <c r="K1" s="2"/>
      <c r="L1" s="2"/>
      <c r="M1" s="2"/>
      <c r="N1" s="3"/>
      <c r="O1" s="2"/>
      <c r="P1" s="2"/>
      <c r="Q1" s="2"/>
      <c r="R1" s="2"/>
      <c r="S1" s="2"/>
      <c r="T1" s="2"/>
      <c r="U1" s="2"/>
      <c r="V1" s="2"/>
    </row>
    <row r="2" spans="1:22" ht="18">
      <c r="A2" s="4"/>
      <c r="B2" s="4"/>
      <c r="C2" s="2"/>
      <c r="D2" s="2"/>
      <c r="E2" s="2"/>
      <c r="F2" s="2"/>
      <c r="G2" s="5" t="s">
        <v>30</v>
      </c>
      <c r="H2" s="2"/>
      <c r="I2" s="2"/>
      <c r="J2" s="2"/>
      <c r="K2" s="2"/>
      <c r="L2" s="2"/>
      <c r="M2" s="2"/>
      <c r="N2" s="2"/>
      <c r="O2" s="2"/>
      <c r="P2" s="2"/>
      <c r="Q2" s="2"/>
      <c r="R2" s="2"/>
      <c r="S2" s="2"/>
      <c r="T2" s="2"/>
      <c r="U2" s="2"/>
      <c r="V2" s="2"/>
    </row>
    <row r="3" spans="1:22" ht="18">
      <c r="A3" s="4"/>
      <c r="B3" s="4"/>
      <c r="C3" s="2"/>
      <c r="D3" s="2"/>
      <c r="E3" s="2"/>
      <c r="F3" s="2"/>
      <c r="G3" s="5"/>
      <c r="H3" s="2"/>
      <c r="I3" s="2"/>
      <c r="J3" s="2"/>
      <c r="K3" s="2"/>
      <c r="L3" s="2"/>
      <c r="M3" s="2"/>
      <c r="N3" s="2"/>
      <c r="O3" s="2"/>
      <c r="P3" s="2"/>
      <c r="Q3" s="2"/>
      <c r="R3" s="2"/>
      <c r="S3" s="2"/>
      <c r="T3" s="2"/>
      <c r="U3" s="2"/>
      <c r="V3" s="2"/>
    </row>
    <row r="4" spans="2:22" ht="12.75">
      <c r="B4" s="334" t="s">
        <v>158</v>
      </c>
      <c r="C4" s="2"/>
      <c r="D4" s="334" t="s">
        <v>164</v>
      </c>
      <c r="F4" s="2"/>
      <c r="G4" s="333" t="s">
        <v>165</v>
      </c>
      <c r="H4" s="2"/>
      <c r="I4" s="2"/>
      <c r="J4" s="2"/>
      <c r="K4" s="2"/>
      <c r="L4" s="346" t="s">
        <v>166</v>
      </c>
      <c r="M4" s="2"/>
      <c r="N4" s="2"/>
      <c r="O4" s="334" t="s">
        <v>182</v>
      </c>
      <c r="P4" s="2"/>
      <c r="Q4" s="2"/>
      <c r="R4" s="2"/>
      <c r="S4" s="2"/>
      <c r="T4" s="2"/>
      <c r="U4" s="2"/>
      <c r="V4" s="2"/>
    </row>
    <row r="5" spans="1:22" ht="27" customHeight="1">
      <c r="A5" s="361" t="s">
        <v>140</v>
      </c>
      <c r="B5" s="362"/>
      <c r="C5" s="362"/>
      <c r="D5" s="362"/>
      <c r="E5" s="362"/>
      <c r="F5" s="362"/>
      <c r="G5" s="362"/>
      <c r="H5" s="362"/>
      <c r="I5" s="362"/>
      <c r="J5" s="362"/>
      <c r="K5" s="362"/>
      <c r="L5" s="362"/>
      <c r="M5" s="362"/>
      <c r="N5" s="362"/>
      <c r="O5" s="362"/>
      <c r="P5" s="362"/>
      <c r="Q5" s="362"/>
      <c r="R5" s="362"/>
      <c r="S5" s="363"/>
      <c r="T5" s="2"/>
      <c r="U5" s="2"/>
      <c r="V5" s="2"/>
    </row>
    <row r="6" spans="1:22" ht="18.75" customHeight="1">
      <c r="A6" s="359" t="s">
        <v>167</v>
      </c>
      <c r="B6" s="359"/>
      <c r="C6" s="359"/>
      <c r="D6" s="359"/>
      <c r="E6" s="359"/>
      <c r="F6" s="359"/>
      <c r="G6" s="359"/>
      <c r="H6" s="359"/>
      <c r="I6" s="359"/>
      <c r="J6" s="359"/>
      <c r="K6" s="359"/>
      <c r="L6" s="359"/>
      <c r="M6" s="359"/>
      <c r="N6" s="359"/>
      <c r="O6" s="359"/>
      <c r="P6" s="359"/>
      <c r="Q6" s="359"/>
      <c r="R6" s="359"/>
      <c r="S6" s="2"/>
      <c r="T6" s="2"/>
      <c r="U6" s="2"/>
      <c r="V6" s="2"/>
    </row>
    <row r="7" spans="1:22" ht="26.25" customHeight="1">
      <c r="A7" s="360" t="s">
        <v>186</v>
      </c>
      <c r="B7" s="360"/>
      <c r="C7" s="360"/>
      <c r="D7" s="360"/>
      <c r="E7" s="360"/>
      <c r="F7" s="360"/>
      <c r="G7" s="360"/>
      <c r="H7" s="360"/>
      <c r="I7" s="360"/>
      <c r="J7" s="360"/>
      <c r="K7" s="360"/>
      <c r="L7" s="360"/>
      <c r="M7" s="360"/>
      <c r="N7" s="360"/>
      <c r="O7" s="360"/>
      <c r="P7" s="360"/>
      <c r="Q7" s="360"/>
      <c r="R7" s="360"/>
      <c r="S7" s="360"/>
      <c r="T7" s="6"/>
      <c r="U7" s="6"/>
      <c r="V7" s="6"/>
    </row>
    <row r="8" spans="1:22" ht="16.5" thickBot="1">
      <c r="A8" s="347" t="s">
        <v>185</v>
      </c>
      <c r="B8" s="15"/>
      <c r="C8" s="2"/>
      <c r="D8" s="2"/>
      <c r="E8" s="2"/>
      <c r="F8" s="2"/>
      <c r="G8" s="2"/>
      <c r="H8" s="2"/>
      <c r="I8" s="2"/>
      <c r="J8" s="2"/>
      <c r="K8" s="2"/>
      <c r="L8" s="2"/>
      <c r="M8" s="2"/>
      <c r="N8" s="3"/>
      <c r="O8" s="2"/>
      <c r="P8" s="2"/>
      <c r="Q8" s="2"/>
      <c r="R8" s="2"/>
      <c r="S8" s="2"/>
      <c r="T8" s="2"/>
      <c r="U8" s="2"/>
      <c r="V8" s="2"/>
    </row>
    <row r="9" spans="1:22" ht="143.25" customHeight="1" thickBot="1">
      <c r="A9" s="200" t="s">
        <v>31</v>
      </c>
      <c r="B9" s="103"/>
      <c r="C9" s="104" t="s">
        <v>74</v>
      </c>
      <c r="D9" s="104" t="s">
        <v>75</v>
      </c>
      <c r="E9" s="104" t="s">
        <v>76</v>
      </c>
      <c r="F9" s="413" t="s">
        <v>148</v>
      </c>
      <c r="G9" s="414" t="s">
        <v>205</v>
      </c>
      <c r="H9" s="415"/>
      <c r="I9" s="143" t="s">
        <v>136</v>
      </c>
      <c r="J9" s="193"/>
      <c r="K9" s="201" t="s">
        <v>32</v>
      </c>
      <c r="L9" s="105"/>
      <c r="M9" s="106" t="s">
        <v>77</v>
      </c>
      <c r="N9" s="106" t="s">
        <v>78</v>
      </c>
      <c r="O9" s="106" t="s">
        <v>79</v>
      </c>
      <c r="P9" s="416" t="s">
        <v>148</v>
      </c>
      <c r="Q9" s="417" t="s">
        <v>205</v>
      </c>
      <c r="R9" s="418"/>
      <c r="S9" s="144" t="s">
        <v>137</v>
      </c>
      <c r="T9" s="2"/>
      <c r="U9" s="2"/>
      <c r="V9" s="2"/>
    </row>
    <row r="10" spans="1:22" ht="67.5" thickBot="1" thickTop="1">
      <c r="A10" s="202" t="s">
        <v>72</v>
      </c>
      <c r="B10" s="203" t="s">
        <v>48</v>
      </c>
      <c r="C10" s="43">
        <v>25</v>
      </c>
      <c r="D10" s="43">
        <v>50</v>
      </c>
      <c r="E10" s="42">
        <v>0.21</v>
      </c>
      <c r="F10" s="204">
        <f>IF(COUNTBLANK(C10:E10)&gt;0,"Numbers must be in all three cells","")</f>
      </c>
      <c r="G10" s="421"/>
      <c r="H10" s="422"/>
      <c r="I10" s="145"/>
      <c r="J10" s="9"/>
      <c r="K10" s="205" t="s">
        <v>73</v>
      </c>
      <c r="L10" s="206" t="s">
        <v>48</v>
      </c>
      <c r="M10" s="44">
        <v>5.1</v>
      </c>
      <c r="N10" s="44">
        <v>13.3</v>
      </c>
      <c r="O10" s="44">
        <v>10.8</v>
      </c>
      <c r="P10" s="207">
        <f>IF(COUNTBLANK(M10:O10)&gt;0,"Numbers must be in all three cells","")</f>
      </c>
      <c r="Q10" s="419"/>
      <c r="R10" s="420"/>
      <c r="S10" s="146"/>
      <c r="T10" s="2"/>
      <c r="U10" s="2"/>
      <c r="V10" s="2"/>
    </row>
    <row r="11" spans="1:22" ht="102.75" thickTop="1">
      <c r="A11" s="107" t="s">
        <v>139</v>
      </c>
      <c r="B11" s="108" t="s">
        <v>53</v>
      </c>
      <c r="C11" s="109" t="s">
        <v>62</v>
      </c>
      <c r="D11" s="110" t="s">
        <v>61</v>
      </c>
      <c r="E11" s="108" t="s">
        <v>49</v>
      </c>
      <c r="F11" s="108" t="s">
        <v>50</v>
      </c>
      <c r="G11" s="111" t="s">
        <v>51</v>
      </c>
      <c r="H11" s="108" t="s">
        <v>52</v>
      </c>
      <c r="I11" s="133" t="s">
        <v>92</v>
      </c>
      <c r="J11" s="9"/>
      <c r="K11" s="112" t="s">
        <v>139</v>
      </c>
      <c r="L11" s="113" t="s">
        <v>53</v>
      </c>
      <c r="M11" s="114" t="s">
        <v>61</v>
      </c>
      <c r="N11" s="115" t="s">
        <v>63</v>
      </c>
      <c r="O11" s="113" t="s">
        <v>56</v>
      </c>
      <c r="P11" s="113" t="s">
        <v>54</v>
      </c>
      <c r="Q11" s="116" t="s">
        <v>55</v>
      </c>
      <c r="R11" s="113" t="s">
        <v>57</v>
      </c>
      <c r="S11" s="134" t="s">
        <v>93</v>
      </c>
      <c r="T11" s="2"/>
      <c r="U11" s="2"/>
      <c r="V11" s="2"/>
    </row>
    <row r="12" spans="1:22" ht="12.75">
      <c r="A12" s="13">
        <v>0.6</v>
      </c>
      <c r="B12" s="10" t="s">
        <v>46</v>
      </c>
      <c r="C12" s="57">
        <f>E10*(C10/D10)^A12</f>
        <v>0.13854833063115388</v>
      </c>
      <c r="D12" s="58">
        <f>25.4*C12</f>
        <v>3.519127598031308</v>
      </c>
      <c r="E12" s="59">
        <f>10^(LOG(25)-(((LOG(0.5)-LOG(E10))/A12)))</f>
        <v>5.888737011364605</v>
      </c>
      <c r="F12" s="59">
        <f>10^(LOG(25)-(((LOG(0.3)-LOG(E10))/A12)))</f>
        <v>13.796536535434191</v>
      </c>
      <c r="G12" s="48">
        <f>10^(LOG(25)-(((LOG(0.2)-LOG(E10))/A12)))</f>
        <v>27.117865796345814</v>
      </c>
      <c r="H12" s="59">
        <f>10^(LOG(25)-(((LOG(0.12)-LOG(E10))/A12)))</f>
        <v>63.53359396085308</v>
      </c>
      <c r="I12" s="131" t="str">
        <f>IF(COUNTBLANK(I10)=0,10^(LOG(25)-(((LOG(I10)-LOG(E10))/A12))),"N/A")</f>
        <v>N/A</v>
      </c>
      <c r="J12" s="9"/>
      <c r="K12" s="14">
        <v>0.6</v>
      </c>
      <c r="L12" s="10" t="s">
        <v>46</v>
      </c>
      <c r="M12" s="45">
        <f>O10*(M10/N10)^A12</f>
        <v>6.076519229132901</v>
      </c>
      <c r="N12" s="46">
        <f>M12/25.4</f>
        <v>0.23923304051704336</v>
      </c>
      <c r="O12" s="47">
        <f>(10^(LOG(25)-(((LOG(0.5)-LOG(O10/25.4))/A12))))/3.28</f>
        <v>5.817899602598824</v>
      </c>
      <c r="P12" s="47">
        <f>(10^(LOG(25)-(((LOG(0.3)-LOG(O10/25.4))/A12))))/3.28</f>
        <v>13.630573800771993</v>
      </c>
      <c r="Q12" s="48">
        <f>(10^(LOG(25)-(((LOG(0.2)-LOG(O10/25.4))/A12))))/3.28</f>
        <v>26.79165673987682</v>
      </c>
      <c r="R12" s="59">
        <f>(10^(LOG(25)-(((LOG(0.12)-LOG(O10/25.4))/A12))))/3.28</f>
        <v>62.76932903323307</v>
      </c>
      <c r="S12" s="132" t="str">
        <f>IF(COUNTBLANK(S10)=0,(10^(LOG(25)-(((LOG(S10/25.4)-LOG(O10/25.4))/K12))))/3.28,"N/A")</f>
        <v>N/A</v>
      </c>
      <c r="T12" s="2"/>
      <c r="U12" s="2"/>
      <c r="V12" s="2"/>
    </row>
    <row r="13" spans="1:22" ht="12.75">
      <c r="A13" s="13">
        <v>0.8</v>
      </c>
      <c r="B13" s="10"/>
      <c r="C13" s="57">
        <f>E10*(C10/D10)^A13</f>
        <v>0.12061332727468868</v>
      </c>
      <c r="D13" s="58">
        <f>25.4*C13</f>
        <v>3.0635785127770925</v>
      </c>
      <c r="E13" s="59">
        <f>10^(LOG(25)-(((LOG(0.5)-LOG(E10))/A13)))</f>
        <v>8.45282001464285</v>
      </c>
      <c r="F13" s="59">
        <f>10^(LOG(25)-(((LOG(0.3)-LOG(E10))/A13)))</f>
        <v>16.007096336502165</v>
      </c>
      <c r="G13" s="48">
        <f>10^(LOG(25)-(((LOG(0.2)-LOG(E10))/A13)))</f>
        <v>26.572146153762294</v>
      </c>
      <c r="H13" s="59">
        <f>10^(LOG(25)-(((LOG(0.12)-LOG(E10))/A13)))</f>
        <v>50.319645114182684</v>
      </c>
      <c r="I13" s="131" t="str">
        <f>IF(COUNTBLANK(I10)=0,10^(LOG(25)-(((LOG(I10)-LOG(E10))/A13))),"N/A")</f>
        <v>N/A</v>
      </c>
      <c r="J13" s="9"/>
      <c r="K13" s="14">
        <v>0.8</v>
      </c>
      <c r="L13" s="10"/>
      <c r="M13" s="45">
        <f>O10*(M10/N10)^A13</f>
        <v>5.016474206972569</v>
      </c>
      <c r="N13" s="46">
        <f>M13/25.4</f>
        <v>0.19749898452647913</v>
      </c>
      <c r="O13" s="47">
        <f>(10^(LOG(25)-(((LOG(0.5)-LOG(O10/25.4))/A13))))/3.28</f>
        <v>6.2243099095638135</v>
      </c>
      <c r="P13" s="47">
        <f>(10^(LOG(25)-(((LOG(0.3)-LOG(O10/25.4))/A13))))/3.28</f>
        <v>11.786969103569964</v>
      </c>
      <c r="Q13" s="48">
        <f>(10^(LOG(25)-(((LOG(0.2)-LOG(O10/25.4))/A13))))/3.28</f>
        <v>19.56663839248077</v>
      </c>
      <c r="R13" s="59">
        <f>(10^(LOG(25)-(((LOG(0.12)-LOG(O10/25.4))/A13))))/3.28</f>
        <v>37.05332246367192</v>
      </c>
      <c r="S13" s="132" t="str">
        <f>IF(COUNTBLANK(S10)=0,(10^(LOG(25)-(((LOG(S10/25.4)-LOG(O10/25.4))/K13))))/3.28,"N/A")</f>
        <v>N/A</v>
      </c>
      <c r="T13" s="2"/>
      <c r="U13" s="2"/>
      <c r="V13" s="2"/>
    </row>
    <row r="14" spans="1:22" ht="13.5" thickBot="1">
      <c r="A14" s="13">
        <v>1</v>
      </c>
      <c r="B14" s="10" t="s">
        <v>33</v>
      </c>
      <c r="C14" s="57">
        <f>E10*(C10/D10)^A14</f>
        <v>0.105</v>
      </c>
      <c r="D14" s="60">
        <f>C14*25.4</f>
        <v>2.667</v>
      </c>
      <c r="E14" s="59">
        <f>10^(LOG(25)-(((LOG(0.5)-LOG(E10))/A14)))</f>
        <v>10.500000000000009</v>
      </c>
      <c r="F14" s="59">
        <f>10^(LOG(25)-(((LOG(0.3)-LOG(E10))/A14)))</f>
        <v>17.50000000000001</v>
      </c>
      <c r="G14" s="48">
        <f>10^(LOG(25)-(((LOG(0.2)-LOG(E10))/A14)))</f>
        <v>26.25000000000001</v>
      </c>
      <c r="H14" s="59">
        <f>10^(LOG(25)-(((LOG(0.12)-LOG(E10))/A14)))</f>
        <v>43.75000000000005</v>
      </c>
      <c r="I14" s="131" t="str">
        <f>IF(COUNTBLANK(I10)=0,10^(LOG(25)-(((LOG(I10)-LOG(E10))/A14))),"N/A")</f>
        <v>N/A</v>
      </c>
      <c r="J14" s="9"/>
      <c r="K14" s="14">
        <v>1</v>
      </c>
      <c r="L14" s="10" t="s">
        <v>33</v>
      </c>
      <c r="M14" s="45">
        <f>O10*(M10/N10)^A14</f>
        <v>4.141353383458647</v>
      </c>
      <c r="N14" s="46">
        <f aca="true" t="shared" si="0" ref="N14:N24">M14/25.4</f>
        <v>0.16304540879758453</v>
      </c>
      <c r="O14" s="47">
        <f>(10^(LOG(25)-(((LOG(0.5)-LOG(O10/25.4))/A14))))/3.28</f>
        <v>6.481659304782029</v>
      </c>
      <c r="P14" s="47">
        <f>(10^(LOG(25)-(((LOG(0.3)-LOG(O10/25.4))/A14))))/3.28</f>
        <v>10.802765507970054</v>
      </c>
      <c r="Q14" s="48">
        <f>(10^(LOG(25)-(((LOG(0.2)-LOG(O10/25.4))/A14))))/3.28</f>
        <v>16.204148261955066</v>
      </c>
      <c r="R14" s="59">
        <f>(10^(LOG(25)-(((LOG(0.12)-LOG(O10/25.4))/A14))))/3.28</f>
        <v>27.006913769925134</v>
      </c>
      <c r="S14" s="132" t="str">
        <f>IF(COUNTBLANK(S10)=0,(10^(LOG(25)-(((LOG(S10/25.4)-LOG(O10/25.4))/K14))))/3.28,"N/A")</f>
        <v>N/A</v>
      </c>
      <c r="T14" s="2"/>
      <c r="U14" s="2"/>
      <c r="V14" s="2"/>
    </row>
    <row r="15" spans="1:22" ht="13.5" thickBot="1">
      <c r="A15" s="124">
        <v>1.1</v>
      </c>
      <c r="B15" s="125" t="s">
        <v>43</v>
      </c>
      <c r="C15" s="61">
        <f>E10*(C10/D10)^A15</f>
        <v>0.09796846411136477</v>
      </c>
      <c r="D15" s="62">
        <f aca="true" t="shared" si="1" ref="D15:D25">C15*25.4</f>
        <v>2.488398988428665</v>
      </c>
      <c r="E15" s="63">
        <f>10^(LOG(25)-(((LOG(0.5)-LOG(E10))/A15)))</f>
        <v>11.361596553924343</v>
      </c>
      <c r="F15" s="63">
        <f>10^(LOG(25)-(((LOG(0.3)-LOG(E10))/A15)))</f>
        <v>18.076737231750435</v>
      </c>
      <c r="G15" s="52">
        <f>10^(LOG(25)-(((LOG(0.2)-LOG(E10))/A15)))</f>
        <v>26.13382675830729</v>
      </c>
      <c r="H15" s="63">
        <f>10^(LOG(25)-(((LOG(0.12)-LOG(E10))/A15)))</f>
        <v>41.579923818614716</v>
      </c>
      <c r="I15" s="131" t="str">
        <f>IF(COUNTBLANK(I10)=0,10^(LOG(25)-(((LOG(I10)-LOG(E10))/A15))),"N/A")</f>
        <v>N/A</v>
      </c>
      <c r="J15" s="9"/>
      <c r="K15" s="128">
        <v>1.1</v>
      </c>
      <c r="L15" s="129" t="s">
        <v>43</v>
      </c>
      <c r="M15" s="49">
        <f>O10*(M10/N10)^A15</f>
        <v>3.7628260686458224</v>
      </c>
      <c r="N15" s="50">
        <f t="shared" si="0"/>
        <v>0.14814275860810325</v>
      </c>
      <c r="O15" s="51">
        <f>(10^(LOG(25)-(((LOG(0.5)-LOG(O10/25.4))/A15))))/3.28</f>
        <v>6.577856247402588</v>
      </c>
      <c r="P15" s="51">
        <f>(10^(LOG(25)-(((LOG(0.3)-LOG(O10/25.4))/A15))))/3.28</f>
        <v>10.465622359337692</v>
      </c>
      <c r="Q15" s="52">
        <f>(10^(LOG(25)-(((LOG(0.2)-LOG(O10/25.4))/A15))))/3.28</f>
        <v>15.130316834854705</v>
      </c>
      <c r="R15" s="63">
        <f>(10^(LOG(25)-(((LOG(0.12)-LOG(O10/25.4))/A15))))/3.28</f>
        <v>24.072916192603966</v>
      </c>
      <c r="S15" s="132" t="str">
        <f>IF(COUNTBLANK(S10)=0,(10^(LOG(25)-(((LOG(S10/25.4)-LOG(O10/25.4))/K15))))/3.28,"N/A")</f>
        <v>N/A</v>
      </c>
      <c r="T15" s="2"/>
      <c r="U15" s="2"/>
      <c r="V15" s="2"/>
    </row>
    <row r="16" spans="1:22" ht="12.75">
      <c r="A16" s="13">
        <v>1.2</v>
      </c>
      <c r="B16" s="10"/>
      <c r="C16" s="57">
        <f>E10*(C10/D10)^A16</f>
        <v>0.09140780914609303</v>
      </c>
      <c r="D16" s="60">
        <f t="shared" si="1"/>
        <v>2.3217583523107628</v>
      </c>
      <c r="E16" s="59">
        <f>10^(LOG(25)-(((LOG(0.5)-LOG(E10))/A16)))</f>
        <v>12.133360016257456</v>
      </c>
      <c r="F16" s="59">
        <f>10^(LOG(25)-(((LOG(0.3)-LOG(E10))/A16)))</f>
        <v>18.571844641441913</v>
      </c>
      <c r="G16" s="48">
        <f>10^(LOG(25)-(((LOG(0.2)-LOG(E10))/A16)))</f>
        <v>26.037408567456282</v>
      </c>
      <c r="H16" s="59">
        <f>10^(LOG(25)-(((LOG(0.12)-LOG(E10))/A16)))</f>
        <v>39.85398159558625</v>
      </c>
      <c r="I16" s="131" t="str">
        <f>IF(COUNTBLANK(I10)=0,10^(LOG(25)-(((LOG(I10)-LOG(E10))/A16))),"N/A")</f>
        <v>N/A</v>
      </c>
      <c r="J16" s="9"/>
      <c r="K16" s="14">
        <v>1.2</v>
      </c>
      <c r="L16" s="10"/>
      <c r="M16" s="45">
        <f>O10*(M10/N10)^A16</f>
        <v>3.4188968464835097</v>
      </c>
      <c r="N16" s="46">
        <f t="shared" si="0"/>
        <v>0.1346022380505319</v>
      </c>
      <c r="O16" s="47">
        <f>(10^(LOG(25)-(((LOG(0.5)-LOG(O10/25.4))/A16))))/3.28</f>
        <v>6.659110073502889</v>
      </c>
      <c r="P16" s="47">
        <f>(10^(LOG(25)-(((LOG(0.3)-LOG(O10/25.4))/A16))))/3.28</f>
        <v>10.192721354154894</v>
      </c>
      <c r="Q16" s="48">
        <f>(10^(LOG(25)-(((LOG(0.2)-LOG(O10/25.4))/A16))))/3.28</f>
        <v>14.29002102032241</v>
      </c>
      <c r="R16" s="59">
        <f>(10^(LOG(25)-(((LOG(0.12)-LOG(O10/25.4))/A16))))/3.28</f>
        <v>21.872923077924742</v>
      </c>
      <c r="S16" s="132" t="str">
        <f>IF(COUNTBLANK(S10)=0,(10^(LOG(25)-(((LOG(S10/25.4)-LOG(O10/25.4))/K16))))/3.28,"N/A")</f>
        <v>N/A</v>
      </c>
      <c r="T16" s="2"/>
      <c r="U16" s="2"/>
      <c r="V16" s="2"/>
    </row>
    <row r="17" spans="1:22" ht="12.75">
      <c r="A17" s="13">
        <v>1.3</v>
      </c>
      <c r="B17" s="10" t="s">
        <v>45</v>
      </c>
      <c r="C17" s="57">
        <f>E10*(C10/D10)^A17</f>
        <v>0.08528650161740473</v>
      </c>
      <c r="D17" s="60">
        <f t="shared" si="1"/>
        <v>2.16627714108208</v>
      </c>
      <c r="E17" s="59">
        <f>10^(LOG(25)-(((LOG(0.5)-LOG(E10))/A17)))</f>
        <v>12.82719717234692</v>
      </c>
      <c r="F17" s="59">
        <f>10^(LOG(25)-(((LOG(0.3)-LOG(E10))/A17)))</f>
        <v>19.001358628571385</v>
      </c>
      <c r="G17" s="48">
        <f>10^(LOG(25)-(((LOG(0.2)-LOG(E10))/A17)))</f>
        <v>25.956101841790236</v>
      </c>
      <c r="H17" s="59">
        <f>10^(LOG(25)-(((LOG(0.12)-LOG(E10))/A17)))</f>
        <v>38.449646720861956</v>
      </c>
      <c r="I17" s="131" t="str">
        <f>IF(COUNTBLANK(I10)=0,10^(LOG(25)-(((LOG(I10)-LOG(E10))/A17))),"N/A")</f>
        <v>N/A</v>
      </c>
      <c r="J17" s="9"/>
      <c r="K17" s="14">
        <v>1.3</v>
      </c>
      <c r="L17" s="10" t="s">
        <v>45</v>
      </c>
      <c r="M17" s="45">
        <f>O10*(M10/N10)^A17</f>
        <v>3.106403387680767</v>
      </c>
      <c r="N17" s="46">
        <f t="shared" si="0"/>
        <v>0.12229934597168374</v>
      </c>
      <c r="O17" s="47">
        <f>(10^(LOG(25)-(((LOG(0.5)-LOG(O10/25.4))/A17))))/3.28</f>
        <v>6.728646769957825</v>
      </c>
      <c r="P17" s="47">
        <f>(10^(LOG(25)-(((LOG(0.3)-LOG(O10/25.4))/A17))))/3.28</f>
        <v>9.967370785924738</v>
      </c>
      <c r="Q17" s="48">
        <f>(10^(LOG(25)-(((LOG(0.2)-LOG(O10/25.4))/A17))))/3.28</f>
        <v>13.615557512047157</v>
      </c>
      <c r="R17" s="59">
        <f>(10^(LOG(25)-(((LOG(0.12)-LOG(O10/25.4))/A17))))/3.28</f>
        <v>20.16918331715422</v>
      </c>
      <c r="S17" s="132" t="str">
        <f>IF(COUNTBLANK(S10)=0,(10^(LOG(25)-(((LOG(S10/25.4)-LOG(O10/25.4))/K17))))/3.28,"N/A")</f>
        <v>N/A</v>
      </c>
      <c r="T17" s="2"/>
      <c r="U17" s="2"/>
      <c r="V17" s="2"/>
    </row>
    <row r="18" spans="1:22" ht="13.5" thickBot="1">
      <c r="A18" s="13">
        <v>1.4</v>
      </c>
      <c r="B18" s="3" t="s">
        <v>34</v>
      </c>
      <c r="C18" s="57">
        <f>E10*(C10/D10)^A18</f>
        <v>0.0795751197417959</v>
      </c>
      <c r="D18" s="60">
        <f t="shared" si="1"/>
        <v>2.0212080414416156</v>
      </c>
      <c r="E18" s="59">
        <f>10^(LOG(25)-(((LOG(0.5)-LOG(E10))/A18)))</f>
        <v>13.453409417592663</v>
      </c>
      <c r="F18" s="59">
        <f>10^(LOG(25)-(((LOG(0.3)-LOG(E10))/A18)))</f>
        <v>19.377411030265055</v>
      </c>
      <c r="G18" s="48">
        <f>10^(LOG(25)-(((LOG(0.2)-LOG(E10))/A18)))</f>
        <v>25.88661247290051</v>
      </c>
      <c r="H18" s="59">
        <f>10^(LOG(25)-(((LOG(0.12)-LOG(E10))/A18)))</f>
        <v>37.28538354096546</v>
      </c>
      <c r="I18" s="131" t="str">
        <f>IF(COUNTBLANK(I10)=0,10^(LOG(25)-(((LOG(I10)-LOG(E10))/A18))),"N/A")</f>
        <v>N/A</v>
      </c>
      <c r="J18" s="9"/>
      <c r="K18" s="14">
        <v>1.4</v>
      </c>
      <c r="L18" s="3" t="s">
        <v>34</v>
      </c>
      <c r="M18" s="45">
        <f>O10*(M10/N10)^A18</f>
        <v>2.8224724056590773</v>
      </c>
      <c r="N18" s="46">
        <f t="shared" si="0"/>
        <v>0.11112096085271958</v>
      </c>
      <c r="O18" s="47">
        <f>(10^(LOG(25)-(((LOG(0.5)-LOG(O10/25.4))/A18))))/3.28</f>
        <v>6.788827303029355</v>
      </c>
      <c r="P18" s="47">
        <f>(10^(LOG(25)-(((LOG(0.3)-LOG(O10/25.4))/A18))))/3.28</f>
        <v>9.77818283685481</v>
      </c>
      <c r="Q18" s="48">
        <f>(10^(LOG(25)-(((LOG(0.2)-LOG(O10/25.4))/A18))))/3.28</f>
        <v>13.062840510090851</v>
      </c>
      <c r="R18" s="59">
        <f>(10^(LOG(25)-(((LOG(0.12)-LOG(O10/25.4))/A18))))/3.28</f>
        <v>18.814861120321225</v>
      </c>
      <c r="S18" s="132" t="str">
        <f>IF(COUNTBLANK(S10)=0,(10^(LOG(25)-(((LOG(S10/25.4)-LOG(O10/25.4))/K18))))/3.28,"N/A")</f>
        <v>N/A</v>
      </c>
      <c r="T18" s="2"/>
      <c r="U18" s="2"/>
      <c r="V18" s="2"/>
    </row>
    <row r="19" spans="1:22" ht="13.5" thickBot="1">
      <c r="A19" s="126">
        <v>1.5</v>
      </c>
      <c r="B19" s="127" t="s">
        <v>44</v>
      </c>
      <c r="C19" s="64">
        <f>E10*(C10/D10)^A19</f>
        <v>0.07424621202458749</v>
      </c>
      <c r="D19" s="65">
        <f t="shared" si="1"/>
        <v>1.885853785424522</v>
      </c>
      <c r="E19" s="66">
        <f>10^(LOG(25)-(((LOG(0.5)-LOG(E10))/A19)))</f>
        <v>14.02080240801096</v>
      </c>
      <c r="F19" s="66">
        <f>10^(LOG(25)-(((LOG(0.3)-LOG(E10))/A19)))</f>
        <v>19.70933790776312</v>
      </c>
      <c r="G19" s="56">
        <f>10^(LOG(25)-(((LOG(0.2)-LOG(E10))/A19)))</f>
        <v>25.826538853662676</v>
      </c>
      <c r="H19" s="66">
        <f>10^(LOG(25)-(((LOG(0.12)-LOG(E10))/A19)))</f>
        <v>36.304910834773175</v>
      </c>
      <c r="I19" s="131" t="str">
        <f>IF(COUNTBLANK(I10)=0,10^(LOG(25)-(((LOG(I10)-LOG(E10))/A19))),"N/A")</f>
        <v>N/A</v>
      </c>
      <c r="J19" s="9"/>
      <c r="K19" s="130">
        <v>1.5</v>
      </c>
      <c r="L19" s="127" t="s">
        <v>44</v>
      </c>
      <c r="M19" s="53">
        <f>O10*(M10/N10)^A19</f>
        <v>2.564493237516907</v>
      </c>
      <c r="N19" s="54">
        <f t="shared" si="0"/>
        <v>0.10096430068964202</v>
      </c>
      <c r="O19" s="55">
        <f>(10^(LOG(25)-(((LOG(0.5)-LOG(O10/25.4))/A19))))/3.28</f>
        <v>6.8414189771300995</v>
      </c>
      <c r="P19" s="55">
        <f>(10^(LOG(25)-(((LOG(0.3)-LOG(O10/25.4))/A19))))/3.28</f>
        <v>9.61712707054468</v>
      </c>
      <c r="Q19" s="56">
        <f>(10^(LOG(25)-(((LOG(0.2)-LOG(O10/25.4))/A19))))/3.28</f>
        <v>12.60200150357169</v>
      </c>
      <c r="R19" s="66">
        <f>(10^(LOG(25)-(((LOG(0.12)-LOG(O10/25.4))/A19))))/3.28</f>
        <v>17.71489952715687</v>
      </c>
      <c r="S19" s="132" t="str">
        <f>IF(COUNTBLANK(S10)=0,(10^(LOG(25)-(((LOG(S10/25.4)-LOG(O10/25.4))/K19))))/3.28,"N/A")</f>
        <v>N/A</v>
      </c>
      <c r="T19" s="2"/>
      <c r="U19" s="2"/>
      <c r="V19" s="2"/>
    </row>
    <row r="20" spans="1:22" ht="12.75">
      <c r="A20" s="13">
        <v>1.6</v>
      </c>
      <c r="B20" s="10"/>
      <c r="C20" s="57">
        <f>E10*(C10/D10)^A20</f>
        <v>0.06927416531557695</v>
      </c>
      <c r="D20" s="60">
        <f t="shared" si="1"/>
        <v>1.7595637990156545</v>
      </c>
      <c r="E20" s="59">
        <f>10^(LOG(25)-(((LOG(0.5)-LOG(E10))/A20)))</f>
        <v>14.53686693775764</v>
      </c>
      <c r="F20" s="59">
        <f>10^(LOG(25)-(((LOG(0.3)-LOG(E10))/A20)))</f>
        <v>20.004434718645623</v>
      </c>
      <c r="G20" s="48">
        <f>10^(LOG(25)-(((LOG(0.2)-LOG(E10))/A20)))</f>
        <v>25.774088807250926</v>
      </c>
      <c r="H20" s="59">
        <f>10^(LOG(25)-(((LOG(0.12)-LOG(E10))/A20)))</f>
        <v>35.468170630222346</v>
      </c>
      <c r="I20" s="131" t="str">
        <f>IF(COUNTBLANK(I10)=0,10^(LOG(25)-(((LOG(I10)-LOG(E10))/A20))),"N/A")</f>
        <v>N/A</v>
      </c>
      <c r="J20" s="9"/>
      <c r="K20" s="14">
        <v>1.6</v>
      </c>
      <c r="L20" s="10"/>
      <c r="M20" s="45">
        <f>O10*(M10/N10)^A20</f>
        <v>2.330093839742691</v>
      </c>
      <c r="N20" s="46">
        <f t="shared" si="0"/>
        <v>0.09173597794262564</v>
      </c>
      <c r="O20" s="47">
        <f>(10^(LOG(25)-(((LOG(0.5)-LOG(O10/25.4))/A20))))/3.28</f>
        <v>6.887770793647375</v>
      </c>
      <c r="P20" s="47">
        <f>(10^(LOG(25)-(((LOG(0.3)-LOG(O10/25.4))/A20))))/3.28</f>
        <v>9.47838084977111</v>
      </c>
      <c r="Q20" s="48">
        <f>(10^(LOG(25)-(((LOG(0.2)-LOG(O10/25.4))/A20))))/3.28</f>
        <v>12.212123621930917</v>
      </c>
      <c r="R20" s="59">
        <f>(10^(LOG(25)-(((LOG(0.12)-LOG(O10/25.4))/A20))))/3.28</f>
        <v>16.805315121679893</v>
      </c>
      <c r="S20" s="132" t="str">
        <f>IF(COUNTBLANK(S10)=0,(10^(LOG(25)-(((LOG(S10/25.4)-LOG(O10/25.4))/K20))))/3.28,"N/A")</f>
        <v>N/A</v>
      </c>
      <c r="T20" s="2"/>
      <c r="U20" s="2"/>
      <c r="V20" s="2"/>
    </row>
    <row r="21" spans="1:22" ht="12.75">
      <c r="A21" s="13">
        <v>1.7</v>
      </c>
      <c r="B21" s="10"/>
      <c r="C21" s="57">
        <f>E10*(C10/D10)^A21</f>
        <v>0.06463508170060811</v>
      </c>
      <c r="D21" s="60">
        <f t="shared" si="1"/>
        <v>1.641731075195446</v>
      </c>
      <c r="E21" s="59">
        <f>10^(LOG(25)-(((LOG(0.5)-LOG(E10))/A21)))</f>
        <v>15.007969699078474</v>
      </c>
      <c r="F21" s="59">
        <f>10^(LOG(25)-(((LOG(0.3)-LOG(E10))/A21)))</f>
        <v>20.26848130387774</v>
      </c>
      <c r="G21" s="48">
        <f>10^(LOG(25)-(((LOG(0.2)-LOG(E10))/A21)))</f>
        <v>25.727897819956105</v>
      </c>
      <c r="H21" s="59">
        <f>10^(LOG(25)-(((LOG(0.12)-LOG(E10))/A21)))</f>
        <v>34.74590010558699</v>
      </c>
      <c r="I21" s="131" t="str">
        <f>IF(COUNTBLANK(I10)=0,10^(LOG(25)-(((LOG(I10)-LOG(E10))/A21))),"N/A")</f>
        <v>N/A</v>
      </c>
      <c r="J21" s="9"/>
      <c r="K21" s="14">
        <v>1.7</v>
      </c>
      <c r="L21" s="10"/>
      <c r="M21" s="45">
        <f>O10*(M10/N10)^A21</f>
        <v>2.117118977963787</v>
      </c>
      <c r="N21" s="46">
        <f t="shared" si="0"/>
        <v>0.08335114086471603</v>
      </c>
      <c r="O21" s="47">
        <f>(10^(LOG(25)-(((LOG(0.5)-LOG(O10/25.4))/A21))))/3.28</f>
        <v>6.928930182000694</v>
      </c>
      <c r="P21" s="47">
        <f>(10^(LOG(25)-(((LOG(0.3)-LOG(O10/25.4))/A21))))/3.28</f>
        <v>9.3576209617733</v>
      </c>
      <c r="Q21" s="48">
        <f>(10^(LOG(25)-(((LOG(0.2)-LOG(O10/25.4))/A21))))/3.28</f>
        <v>11.87814283334205</v>
      </c>
      <c r="R21" s="59">
        <f>(10^(LOG(25)-(((LOG(0.12)-LOG(O10/25.4))/A21))))/3.28</f>
        <v>16.04160461205925</v>
      </c>
      <c r="S21" s="132" t="str">
        <f>IF(COUNTBLANK(S10)=0,(10^(LOG(25)-(((LOG(S10/25.4)-LOG(O10/25.4))/K21))))/3.28,"N/A")</f>
        <v>N/A</v>
      </c>
      <c r="T21" s="2"/>
      <c r="U21" s="2"/>
      <c r="V21" s="2"/>
    </row>
    <row r="22" spans="1:22" ht="12.75">
      <c r="A22" s="13">
        <v>1.8</v>
      </c>
      <c r="B22" s="10"/>
      <c r="C22" s="57">
        <f>E10*(C10/D10)^A22</f>
        <v>0.06030666363734434</v>
      </c>
      <c r="D22" s="60">
        <f t="shared" si="1"/>
        <v>1.5317892563885462</v>
      </c>
      <c r="E22" s="59">
        <f>10^(LOG(25)-(((LOG(0.5)-LOG(E10))/A22)))</f>
        <v>15.439529402697712</v>
      </c>
      <c r="F22" s="59">
        <f>10^(LOG(25)-(((LOG(0.3)-LOG(E10))/A22)))</f>
        <v>20.506113849375268</v>
      </c>
      <c r="G22" s="48">
        <f>10^(LOG(25)-(((LOG(0.2)-LOG(E10))/A22)))</f>
        <v>25.686908664438693</v>
      </c>
      <c r="H22" s="59">
        <f>10^(LOG(25)-(((LOG(0.12)-LOG(E10))/A22)))</f>
        <v>34.11623889387767</v>
      </c>
      <c r="I22" s="131" t="str">
        <f>IF(COUNTBLANK(I10)=0,10^(LOG(25)-(((LOG(I10)-LOG(E10))/A22))),"N/A")</f>
        <v>N/A</v>
      </c>
      <c r="J22" s="9"/>
      <c r="K22" s="14">
        <v>1.8</v>
      </c>
      <c r="L22" s="10"/>
      <c r="M22" s="45">
        <f>O10*(M10/N10)^A22</f>
        <v>1.9236104101924885</v>
      </c>
      <c r="N22" s="46">
        <f t="shared" si="0"/>
        <v>0.07573269331466491</v>
      </c>
      <c r="O22" s="47">
        <f>(10^(LOG(25)-(((LOG(0.5)-LOG(O10/25.4))/A22))))/3.28</f>
        <v>6.9657227417542105</v>
      </c>
      <c r="P22" s="47">
        <f>(10^(LOG(25)-(((LOG(0.3)-LOG(O10/25.4))/A22))))/3.28</f>
        <v>9.251571071890062</v>
      </c>
      <c r="Q22" s="48">
        <f>(10^(LOG(25)-(((LOG(0.2)-LOG(O10/25.4))/A22))))/3.28</f>
        <v>11.58894673421718</v>
      </c>
      <c r="R22" s="59">
        <f>(10^(LOG(25)-(((LOG(0.12)-LOG(O10/25.4))/A22))))/3.28</f>
        <v>15.391936821900815</v>
      </c>
      <c r="S22" s="132" t="str">
        <f>IF(COUNTBLANK(S10)=0,(10^(LOG(25)-(((LOG(S10/25.4)-LOG(O10/25.4))/K22))))/3.28,"N/A")</f>
        <v>N/A</v>
      </c>
      <c r="T22" s="2"/>
      <c r="U22" s="2"/>
      <c r="V22" s="2"/>
    </row>
    <row r="23" spans="1:22" ht="12.75">
      <c r="A23" s="13">
        <v>1.9</v>
      </c>
      <c r="B23" s="10"/>
      <c r="C23" s="57">
        <f>E10*(C10/D10)^A23</f>
        <v>0.056268106783155386</v>
      </c>
      <c r="D23" s="60">
        <f t="shared" si="1"/>
        <v>1.4292099122921467</v>
      </c>
      <c r="E23" s="59">
        <f>10^(LOG(25)-(((LOG(0.5)-LOG(E10))/A23)))</f>
        <v>15.836170229425838</v>
      </c>
      <c r="F23" s="59">
        <f>10^(LOG(25)-(((LOG(0.3)-LOG(E10))/A23)))</f>
        <v>20.72109306627341</v>
      </c>
      <c r="G23" s="48">
        <f>10^(LOG(25)-(((LOG(0.2)-LOG(E10))/A23)))</f>
        <v>25.6502895138202</v>
      </c>
      <c r="H23" s="59">
        <f>10^(LOG(25)-(((LOG(0.12)-LOG(E10))/A23)))</f>
        <v>33.56253617463139</v>
      </c>
      <c r="I23" s="131" t="str">
        <f>IF(COUNTBLANK(I10)=0,10^(LOG(25)-(((LOG(I10)-LOG(E10))/A23))),"N/A")</f>
        <v>N/A</v>
      </c>
      <c r="J23" s="9"/>
      <c r="K23" s="14">
        <v>1.9</v>
      </c>
      <c r="L23" s="10"/>
      <c r="M23" s="45">
        <f>O10*(M10/N10)^A23</f>
        <v>1.747788881359793</v>
      </c>
      <c r="N23" s="46">
        <f t="shared" si="0"/>
        <v>0.06881058588030682</v>
      </c>
      <c r="O23" s="47">
        <f>(10^(LOG(25)-(((LOG(0.5)-LOG(O10/25.4))/A23))))/3.28</f>
        <v>6.998807972613478</v>
      </c>
      <c r="P23" s="47">
        <f>(10^(LOG(25)-(((LOG(0.3)-LOG(O10/25.4))/A23))))/3.28</f>
        <v>9.157703488437328</v>
      </c>
      <c r="Q23" s="48">
        <f>(10^(LOG(25)-(((LOG(0.2)-LOG(O10/25.4))/A23))))/3.28</f>
        <v>11.336165761567315</v>
      </c>
      <c r="R23" s="59">
        <f>(10^(LOG(25)-(((LOG(0.12)-LOG(O10/25.4))/A23))))/3.28</f>
        <v>14.832989438549077</v>
      </c>
      <c r="S23" s="132" t="str">
        <f>IF(COUNTBLANK(S10)=0,(10^(LOG(25)-(((LOG(S10/25.4)-LOG(O10/25.4))/K23))))/3.28,"N/A")</f>
        <v>N/A</v>
      </c>
      <c r="T23" s="2"/>
      <c r="U23" s="2"/>
      <c r="V23" s="2"/>
    </row>
    <row r="24" spans="1:22" ht="12.75">
      <c r="A24" s="13">
        <v>2</v>
      </c>
      <c r="B24" s="10"/>
      <c r="C24" s="57">
        <f>E10*(C10/D10)^A24</f>
        <v>0.0525</v>
      </c>
      <c r="D24" s="60">
        <f t="shared" si="1"/>
        <v>1.3335</v>
      </c>
      <c r="E24" s="59">
        <f>10^(LOG(25)-(((LOG(0.5)-LOG(E10))/A24)))</f>
        <v>16.201851746019656</v>
      </c>
      <c r="F24" s="59">
        <f>10^(LOG(25)-(((LOG(0.3)-LOG(E10))/A24)))</f>
        <v>20.916500663351904</v>
      </c>
      <c r="G24" s="48">
        <f>10^(LOG(25)-(((LOG(0.2)-LOG(E10))/A24)))</f>
        <v>25.617376914899005</v>
      </c>
      <c r="H24" s="59">
        <f>10^(LOG(25)-(((LOG(0.12)-LOG(E10))/A24)))</f>
        <v>33.07189138830741</v>
      </c>
      <c r="I24" s="131" t="str">
        <f>IF(COUNTBLANK(I10)=0,10^(LOG(25)-(((LOG(I10)-LOG(E10))/A24))),"N/A")</f>
        <v>N/A</v>
      </c>
      <c r="J24" s="9"/>
      <c r="K24" s="14">
        <v>2</v>
      </c>
      <c r="L24" s="10"/>
      <c r="M24" s="45">
        <f>O10*(M10/N10)^A24</f>
        <v>1.5880377635818872</v>
      </c>
      <c r="N24" s="46">
        <f t="shared" si="0"/>
        <v>0.06252117179456249</v>
      </c>
      <c r="O24" s="47">
        <f>(10^(LOG(25)-(((LOG(0.5)-LOG(O10/25.4))/A24))))/3.28</f>
        <v>7.028719018608299</v>
      </c>
      <c r="P24" s="47">
        <f>(10^(LOG(25)-(((LOG(0.3)-LOG(O10/25.4))/A24))))/3.28</f>
        <v>9.074037234747093</v>
      </c>
      <c r="Q24" s="48">
        <f>(10^(LOG(25)-(((LOG(0.2)-LOG(O10/25.4))/A24))))/3.28</f>
        <v>11.11338056607282</v>
      </c>
      <c r="R24" s="59">
        <f>(10^(LOG(25)-(((LOG(0.12)-LOG(O10/25.4))/A24))))/3.28</f>
        <v>14.347312617488393</v>
      </c>
      <c r="S24" s="132" t="str">
        <f>IF(COUNTBLANK(S10)=0,(10^(LOG(25)-(((LOG(S10/25.4)-LOG(O10/25.4))/K24))))/3.28,"N/A")</f>
        <v>N/A</v>
      </c>
      <c r="T24" s="2"/>
      <c r="U24" s="2"/>
      <c r="V24" s="2"/>
    </row>
    <row r="25" spans="1:22" ht="13.5" thickBot="1">
      <c r="A25" s="13">
        <v>2.2</v>
      </c>
      <c r="B25" s="10"/>
      <c r="C25" s="46">
        <f>E10*(C10/D10)^A25</f>
        <v>0.04570390457304652</v>
      </c>
      <c r="D25" s="60">
        <f t="shared" si="1"/>
        <v>1.1608791761553814</v>
      </c>
      <c r="E25" s="59">
        <f>10^(LOG(25)-(((LOG(0.5)-LOG(E10))/A25)))</f>
        <v>16.85348373031845</v>
      </c>
      <c r="F25" s="59">
        <f>10^(LOG(25)-(((LOG(0.3)-LOG(E10))/A25)))</f>
        <v>21.25837319255077</v>
      </c>
      <c r="G25" s="48">
        <f>10^(LOG(25)-(((LOG(0.2)-LOG(E10))/A25)))</f>
        <v>25.56062731933008</v>
      </c>
      <c r="H25" s="59">
        <f>10^(LOG(25)-(((LOG(0.12)-LOG(E10))/A25)))</f>
        <v>32.241248354636774</v>
      </c>
      <c r="I25" s="131" t="str">
        <f>IF(COUNTBLANK(I10)=0,10^(LOG(25)-(((LOG(I10)-LOG(E10))/A25))),"N/A")</f>
        <v>N/A</v>
      </c>
      <c r="J25" s="9"/>
      <c r="K25" s="14">
        <v>2.2</v>
      </c>
      <c r="L25" s="10"/>
      <c r="M25" s="45">
        <f>O10*(M10/N10)^A25</f>
        <v>1.3110055576741273</v>
      </c>
      <c r="N25" s="46">
        <f>M25/25.4</f>
        <v>0.051614392034414466</v>
      </c>
      <c r="O25" s="47">
        <f>(10^(LOG(25)-(((LOG(0.5)-LOG(O10/25.4))/A25))))/3.28</f>
        <v>7.080684956038228</v>
      </c>
      <c r="P25" s="47">
        <f>(10^(LOG(25)-(((LOG(0.3)-LOG(O10/25.4))/A25))))/3.28</f>
        <v>8.931319225327696</v>
      </c>
      <c r="Q25" s="48">
        <f>(10^(LOG(25)-(((LOG(0.2)-LOG(O10/25.4))/A25))))/3.28</f>
        <v>10.738833123343836</v>
      </c>
      <c r="R25" s="59">
        <f>(10^(LOG(25)-(((LOG(0.12)-LOG(O10/25.4))/A25))))/3.28</f>
        <v>13.545574662281144</v>
      </c>
      <c r="S25" s="132" t="str">
        <f>IF(COUNTBLANK(S10)=0,(10^(LOG(25)-(((LOG(S10/25.4)-LOG(O10/25.4))/K25))))/3.28,"N/A")</f>
        <v>N/A</v>
      </c>
      <c r="T25" s="2"/>
      <c r="U25" s="2"/>
      <c r="V25" s="2"/>
    </row>
    <row r="26" spans="1:22" ht="13.5" thickBot="1">
      <c r="A26" s="184"/>
      <c r="B26" s="174" t="s">
        <v>138</v>
      </c>
      <c r="C26" s="175" t="str">
        <f>IF(A26="","N/A",E10*(C10/D10)^A26)</f>
        <v>N/A</v>
      </c>
      <c r="D26" s="176" t="str">
        <f>IF(A26="","N/A",C26*25.4)</f>
        <v>N/A</v>
      </c>
      <c r="E26" s="177" t="str">
        <f>IF(A26="","N/A",10^(LOG(25)-(((LOG(0.5)-LOG(E10))/A26))))</f>
        <v>N/A</v>
      </c>
      <c r="F26" s="177" t="str">
        <f>IF(A26="","N/A",10^(LOG(25)-(((LOG(0.3)-LOG(E10))/A26))))</f>
        <v>N/A</v>
      </c>
      <c r="G26" s="177" t="str">
        <f>IF(A26="","N/A",10^(LOG(25)-(((LOG(0.2)-LOG(E10))/A26))))</f>
        <v>N/A</v>
      </c>
      <c r="H26" s="177" t="str">
        <f>IF(A26="","N/A",10^(LOG(25)-(((LOG(0.12)-LOG(E10))/A26))))</f>
        <v>N/A</v>
      </c>
      <c r="I26" s="178" t="str">
        <f>IF(AND(A26&gt;0,I10&gt;0),10^(LOG(25)-(((LOG(I10)-LOG(E10))/A26))),"N/A")</f>
        <v>N/A</v>
      </c>
      <c r="J26" s="192"/>
      <c r="K26" s="185"/>
      <c r="L26" s="179" t="s">
        <v>138</v>
      </c>
      <c r="M26" s="180" t="str">
        <f>IF(K26="","N/A",O10*(M10/N10)^K26)</f>
        <v>N/A</v>
      </c>
      <c r="N26" s="181" t="str">
        <f>IF(K26="","N/A",M26/25.4)</f>
        <v>N/A</v>
      </c>
      <c r="O26" s="180" t="str">
        <f>IF(K26="","N/A",10^(LOG(25)-(((LOG(0.5)-LOG(O10/25.4))/K26)))/3.28)</f>
        <v>N/A</v>
      </c>
      <c r="P26" s="180" t="str">
        <f>IF(K26="","N/A",10^(LOG(25)-(((LOG(0.3)-LOG(O10/25.4))/K26)))/3.28)</f>
        <v>N/A</v>
      </c>
      <c r="Q26" s="180" t="str">
        <f>IF(K26="","N/A",10^(LOG(25)-(((LOG(0.2)-LOG(O10/25.4))/K26)))/3.28)</f>
        <v>N/A</v>
      </c>
      <c r="R26" s="180" t="str">
        <f>IF(K26="","N/A",10^(LOG(25)-(((LOG(0.12)-LOG(O10/25.4))/K26)))/3.28)</f>
        <v>N/A</v>
      </c>
      <c r="S26" s="182" t="str">
        <f>IF(AND(K26&gt;0,S10&gt;0),(10^(LOG(25)-(((LOG(S10/25.4)-LOG(O10/25.4))/K26)))/3.28),"N/A")</f>
        <v>N/A</v>
      </c>
      <c r="T26" s="2"/>
      <c r="U26" s="2"/>
      <c r="V26" s="2"/>
    </row>
    <row r="27" spans="1:22" ht="18">
      <c r="A27" s="7" t="s">
        <v>71</v>
      </c>
      <c r="B27" s="7"/>
      <c r="C27" s="2"/>
      <c r="D27" s="2"/>
      <c r="E27" s="2"/>
      <c r="F27" s="2"/>
      <c r="G27" s="2"/>
      <c r="H27" s="2"/>
      <c r="I27" s="2"/>
      <c r="J27" s="2"/>
      <c r="K27" s="2"/>
      <c r="L27" s="2"/>
      <c r="M27" s="2"/>
      <c r="N27" s="3"/>
      <c r="O27" s="2"/>
      <c r="P27" s="2"/>
      <c r="Q27" s="2"/>
      <c r="R27" s="2"/>
      <c r="S27" s="2"/>
      <c r="T27" s="2"/>
      <c r="U27" s="2"/>
      <c r="V27" s="2"/>
    </row>
    <row r="28" spans="1:22" ht="17.25" thickBot="1">
      <c r="A28" s="186" t="s">
        <v>70</v>
      </c>
      <c r="B28" s="186"/>
      <c r="C28" s="187"/>
      <c r="D28" s="187"/>
      <c r="E28" s="187"/>
      <c r="F28" s="187"/>
      <c r="G28" s="187"/>
      <c r="H28" s="187"/>
      <c r="I28" s="187"/>
      <c r="J28" s="187"/>
      <c r="K28" s="187"/>
      <c r="L28" s="187"/>
      <c r="M28" s="187"/>
      <c r="N28" s="188"/>
      <c r="O28" s="187"/>
      <c r="P28" s="187"/>
      <c r="Q28" s="187"/>
      <c r="R28" s="187"/>
      <c r="S28" s="187"/>
      <c r="T28" s="187"/>
      <c r="U28" s="2"/>
      <c r="V28" s="2"/>
    </row>
    <row r="29" spans="1:22" ht="16.5" thickBot="1" thickTop="1">
      <c r="A29" s="12"/>
      <c r="B29" s="12"/>
      <c r="C29" s="2"/>
      <c r="D29" s="2"/>
      <c r="E29" s="2"/>
      <c r="F29" s="2"/>
      <c r="G29" s="2"/>
      <c r="H29" s="2"/>
      <c r="I29" s="2"/>
      <c r="J29" s="2"/>
      <c r="K29" s="2"/>
      <c r="L29" s="2"/>
      <c r="M29" s="2"/>
      <c r="N29" s="3"/>
      <c r="O29" s="2"/>
      <c r="P29" s="2"/>
      <c r="Q29" s="2"/>
      <c r="R29" s="2"/>
      <c r="S29" s="2"/>
      <c r="T29" s="2"/>
      <c r="U29" s="2"/>
      <c r="V29" s="2"/>
    </row>
    <row r="30" spans="1:22" ht="16.5" thickBot="1">
      <c r="A30" s="40" t="s">
        <v>42</v>
      </c>
      <c r="B30" s="41"/>
      <c r="C30" s="2"/>
      <c r="D30" s="2"/>
      <c r="E30" s="2"/>
      <c r="F30" s="2"/>
      <c r="G30" s="2"/>
      <c r="H30" s="2"/>
      <c r="I30" s="2"/>
      <c r="J30" s="2"/>
      <c r="K30" s="2"/>
      <c r="L30" s="2"/>
      <c r="M30" s="2"/>
      <c r="N30" s="3"/>
      <c r="O30" s="2"/>
      <c r="P30" s="2"/>
      <c r="Q30" s="2"/>
      <c r="R30" s="2"/>
      <c r="S30" s="2"/>
      <c r="T30" s="2"/>
      <c r="U30" s="2"/>
      <c r="V30" s="2"/>
    </row>
    <row r="31" spans="1:14" ht="16.5" thickBot="1">
      <c r="A31" s="39"/>
      <c r="B31" s="12"/>
      <c r="C31" s="2"/>
      <c r="D31" s="2"/>
      <c r="E31" s="2"/>
      <c r="F31" s="2"/>
      <c r="G31" s="2"/>
      <c r="H31" s="2"/>
      <c r="I31" s="2"/>
      <c r="J31" s="2"/>
      <c r="N31"/>
    </row>
    <row r="32" spans="1:14" ht="16.5" thickBot="1">
      <c r="A32" s="194" t="s">
        <v>142</v>
      </c>
      <c r="B32" s="190"/>
      <c r="C32" s="190"/>
      <c r="D32" s="190" t="s">
        <v>80</v>
      </c>
      <c r="E32" s="190"/>
      <c r="F32" s="190"/>
      <c r="G32" s="190"/>
      <c r="H32" s="189" t="s">
        <v>29</v>
      </c>
      <c r="I32" s="190"/>
      <c r="J32" s="191"/>
      <c r="N32"/>
    </row>
    <row r="33" spans="1:14" ht="12.75">
      <c r="A33" s="195"/>
      <c r="H33" s="29"/>
      <c r="I33" s="8"/>
      <c r="J33" s="34"/>
      <c r="N33"/>
    </row>
    <row r="34" spans="1:14" ht="12.75" customHeight="1">
      <c r="A34" s="196">
        <v>0.6</v>
      </c>
      <c r="B34" s="10"/>
      <c r="C34" s="10"/>
      <c r="D34" s="10"/>
      <c r="E34" s="10"/>
      <c r="F34" s="10"/>
      <c r="G34" s="10"/>
      <c r="H34" s="364" t="s">
        <v>28</v>
      </c>
      <c r="I34" s="365"/>
      <c r="J34" s="366"/>
      <c r="N34"/>
    </row>
    <row r="35" spans="1:14" ht="12.75" customHeight="1">
      <c r="A35" s="196">
        <v>1.1</v>
      </c>
      <c r="B35" s="10"/>
      <c r="C35" s="10"/>
      <c r="D35" s="10"/>
      <c r="E35" s="10"/>
      <c r="F35" s="10"/>
      <c r="G35" s="10"/>
      <c r="H35" s="16" t="s">
        <v>26</v>
      </c>
      <c r="I35" s="8"/>
      <c r="J35" s="183"/>
      <c r="N35"/>
    </row>
    <row r="36" spans="1:14" ht="12.75" customHeight="1">
      <c r="A36" s="197">
        <v>1.5</v>
      </c>
      <c r="B36" s="25"/>
      <c r="C36" s="10"/>
      <c r="D36" s="10"/>
      <c r="E36" s="10"/>
      <c r="F36" s="10"/>
      <c r="G36" s="10"/>
      <c r="H36" s="16" t="s">
        <v>27</v>
      </c>
      <c r="I36" s="8"/>
      <c r="J36" s="183"/>
      <c r="N36"/>
    </row>
    <row r="37" spans="1:14" ht="37.5" customHeight="1">
      <c r="A37" s="198">
        <v>1.4</v>
      </c>
      <c r="B37" s="365" t="s">
        <v>23</v>
      </c>
      <c r="C37" s="365"/>
      <c r="D37" s="365"/>
      <c r="E37" s="365"/>
      <c r="F37" s="351"/>
      <c r="G37" s="363"/>
      <c r="H37" s="364" t="s">
        <v>141</v>
      </c>
      <c r="I37" s="365"/>
      <c r="J37" s="367"/>
      <c r="N37"/>
    </row>
    <row r="38" spans="1:14" ht="25.5" customHeight="1">
      <c r="A38" s="198">
        <v>1.3</v>
      </c>
      <c r="B38" s="365" t="s">
        <v>24</v>
      </c>
      <c r="C38" s="363"/>
      <c r="D38" s="363"/>
      <c r="E38" s="363"/>
      <c r="F38" s="363"/>
      <c r="G38" s="363"/>
      <c r="H38" s="364" t="s">
        <v>141</v>
      </c>
      <c r="I38" s="365"/>
      <c r="J38" s="367"/>
      <c r="N38"/>
    </row>
    <row r="39" spans="1:14" ht="24.75" customHeight="1">
      <c r="A39" s="198">
        <v>1.1</v>
      </c>
      <c r="B39" s="365" t="s">
        <v>91</v>
      </c>
      <c r="C39" s="363"/>
      <c r="D39" s="363"/>
      <c r="E39" s="363"/>
      <c r="F39" s="363"/>
      <c r="G39" s="363"/>
      <c r="H39" s="364" t="s">
        <v>141</v>
      </c>
      <c r="I39" s="365"/>
      <c r="J39" s="367"/>
      <c r="N39"/>
    </row>
    <row r="40" spans="1:14" ht="24" customHeight="1" thickBot="1">
      <c r="A40" s="199">
        <v>1</v>
      </c>
      <c r="B40" s="369" t="s">
        <v>25</v>
      </c>
      <c r="C40" s="377"/>
      <c r="D40" s="377"/>
      <c r="E40" s="377"/>
      <c r="F40" s="377"/>
      <c r="G40" s="377"/>
      <c r="H40" s="368" t="s">
        <v>141</v>
      </c>
      <c r="I40" s="369"/>
      <c r="J40" s="370"/>
      <c r="N40"/>
    </row>
    <row r="41" spans="1:14" ht="13.5" customHeight="1" thickBot="1">
      <c r="A41" s="2"/>
      <c r="B41" s="2"/>
      <c r="C41" s="2"/>
      <c r="D41" s="2"/>
      <c r="E41" s="2"/>
      <c r="F41" s="2"/>
      <c r="G41" s="2"/>
      <c r="H41" s="2"/>
      <c r="I41" s="2"/>
      <c r="J41" s="2"/>
      <c r="N41"/>
    </row>
    <row r="42" spans="1:14" ht="16.5" customHeight="1">
      <c r="A42" s="32" t="s">
        <v>88</v>
      </c>
      <c r="B42" s="26"/>
      <c r="C42" s="27"/>
      <c r="D42" s="27"/>
      <c r="E42" s="27"/>
      <c r="F42" s="27"/>
      <c r="G42" s="27"/>
      <c r="H42" s="28"/>
      <c r="I42" s="10"/>
      <c r="J42" s="2"/>
      <c r="N42"/>
    </row>
    <row r="43" spans="1:14" ht="38.25">
      <c r="A43" s="29"/>
      <c r="B43" s="83" t="s">
        <v>39</v>
      </c>
      <c r="C43" s="78"/>
      <c r="D43" s="78"/>
      <c r="E43" s="78"/>
      <c r="F43" s="84"/>
      <c r="G43" s="79" t="s">
        <v>38</v>
      </c>
      <c r="H43" s="85" t="s">
        <v>41</v>
      </c>
      <c r="I43" s="8"/>
      <c r="J43" s="2"/>
      <c r="N43"/>
    </row>
    <row r="44" spans="1:14" ht="12.75">
      <c r="A44" s="379" t="s">
        <v>35</v>
      </c>
      <c r="B44" s="376"/>
      <c r="C44" s="376"/>
      <c r="D44" s="376"/>
      <c r="E44" s="376"/>
      <c r="G44" s="122">
        <v>0.5</v>
      </c>
      <c r="H44" s="86">
        <f>25.4*G44</f>
        <v>12.7</v>
      </c>
      <c r="I44" s="67"/>
      <c r="J44" s="2"/>
      <c r="N44"/>
    </row>
    <row r="45" spans="1:14" ht="12.75">
      <c r="A45" s="379" t="s">
        <v>36</v>
      </c>
      <c r="B45" s="376"/>
      <c r="C45" s="376"/>
      <c r="D45" s="376"/>
      <c r="E45" s="376"/>
      <c r="G45" s="122">
        <v>0.3</v>
      </c>
      <c r="H45" s="86">
        <f>25.4*G45</f>
        <v>7.619999999999999</v>
      </c>
      <c r="I45" s="67"/>
      <c r="J45" s="2"/>
      <c r="N45"/>
    </row>
    <row r="46" spans="1:14" ht="12.75">
      <c r="A46" s="379" t="s">
        <v>40</v>
      </c>
      <c r="B46" s="380"/>
      <c r="C46" s="380"/>
      <c r="D46" s="380"/>
      <c r="E46" s="380"/>
      <c r="F46" s="363"/>
      <c r="G46" s="122">
        <v>0.2</v>
      </c>
      <c r="H46" s="86">
        <f>25.4*G46</f>
        <v>5.08</v>
      </c>
      <c r="I46" s="67"/>
      <c r="J46" s="2"/>
      <c r="N46"/>
    </row>
    <row r="47" spans="1:14" ht="13.5" thickBot="1">
      <c r="A47" s="378" t="s">
        <v>37</v>
      </c>
      <c r="B47" s="377"/>
      <c r="C47" s="377"/>
      <c r="D47" s="377"/>
      <c r="E47" s="377"/>
      <c r="F47" s="33"/>
      <c r="G47" s="123">
        <v>0.12</v>
      </c>
      <c r="H47" s="87">
        <f>25.4*G47</f>
        <v>3.0479999999999996</v>
      </c>
      <c r="I47" s="67"/>
      <c r="J47" s="2"/>
      <c r="N47"/>
    </row>
    <row r="48" spans="1:14" ht="12.75">
      <c r="A48" s="38" t="s">
        <v>47</v>
      </c>
      <c r="B48" s="2"/>
      <c r="C48" s="2"/>
      <c r="D48" s="2"/>
      <c r="E48" s="2"/>
      <c r="F48" s="2"/>
      <c r="G48" s="2"/>
      <c r="H48" s="2"/>
      <c r="I48" s="2"/>
      <c r="J48" s="2"/>
      <c r="N48"/>
    </row>
    <row r="49" spans="1:14" ht="13.5" thickBot="1">
      <c r="A49" s="2"/>
      <c r="B49" s="2"/>
      <c r="C49" s="2"/>
      <c r="D49" s="2"/>
      <c r="E49" s="2"/>
      <c r="F49" s="2"/>
      <c r="G49" s="2"/>
      <c r="N49"/>
    </row>
    <row r="50" spans="1:14" ht="18">
      <c r="A50" s="94" t="s">
        <v>68</v>
      </c>
      <c r="B50" s="95"/>
      <c r="C50" s="95"/>
      <c r="D50" s="95"/>
      <c r="E50" s="95"/>
      <c r="F50" s="96"/>
      <c r="G50" s="2"/>
      <c r="H50" s="135" t="s">
        <v>84</v>
      </c>
      <c r="I50" s="136"/>
      <c r="J50" s="136"/>
      <c r="K50" s="136"/>
      <c r="L50" s="136"/>
      <c r="M50" s="137"/>
      <c r="N50"/>
    </row>
    <row r="51" spans="1:14" ht="25.5">
      <c r="A51" s="375" t="s">
        <v>69</v>
      </c>
      <c r="B51" s="376"/>
      <c r="C51" s="363"/>
      <c r="D51" s="88"/>
      <c r="E51" s="89" t="s">
        <v>38</v>
      </c>
      <c r="F51" s="90" t="s">
        <v>41</v>
      </c>
      <c r="G51" s="2"/>
      <c r="H51" s="386" t="s">
        <v>86</v>
      </c>
      <c r="I51" s="387"/>
      <c r="J51" s="387" t="s">
        <v>87</v>
      </c>
      <c r="K51" s="387"/>
      <c r="L51" s="387" t="s">
        <v>85</v>
      </c>
      <c r="M51" s="390"/>
      <c r="N51"/>
    </row>
    <row r="52" spans="1:14" ht="12.75">
      <c r="A52" s="97" t="s">
        <v>66</v>
      </c>
      <c r="B52" s="10"/>
      <c r="C52" s="88"/>
      <c r="D52" s="88"/>
      <c r="E52" s="98">
        <v>0.5</v>
      </c>
      <c r="F52" s="99">
        <f>E52*25.4</f>
        <v>12.7</v>
      </c>
      <c r="G52" s="2"/>
      <c r="H52" s="388"/>
      <c r="I52" s="389"/>
      <c r="J52" s="389"/>
      <c r="K52" s="389"/>
      <c r="L52" s="389"/>
      <c r="M52" s="390"/>
      <c r="N52"/>
    </row>
    <row r="53" spans="1:14" ht="12.75">
      <c r="A53" s="97" t="s">
        <v>65</v>
      </c>
      <c r="B53" s="10"/>
      <c r="C53" s="88"/>
      <c r="D53" s="88"/>
      <c r="E53" s="98">
        <v>0.75</v>
      </c>
      <c r="F53" s="99">
        <f>E53*25.4</f>
        <v>19.049999999999997</v>
      </c>
      <c r="G53" s="2"/>
      <c r="H53" s="388"/>
      <c r="I53" s="389"/>
      <c r="J53" s="389"/>
      <c r="K53" s="389"/>
      <c r="L53" s="389"/>
      <c r="M53" s="390"/>
      <c r="N53" s="3"/>
    </row>
    <row r="54" spans="1:14" ht="12.75">
      <c r="A54" s="97"/>
      <c r="B54" s="10"/>
      <c r="C54" s="88"/>
      <c r="D54" s="88"/>
      <c r="E54" s="98"/>
      <c r="F54" s="99"/>
      <c r="G54" s="2"/>
      <c r="H54" s="97" t="s">
        <v>81</v>
      </c>
      <c r="I54" s="10"/>
      <c r="J54" s="10">
        <v>1.25</v>
      </c>
      <c r="K54" s="88">
        <v>1.25</v>
      </c>
      <c r="L54" s="88">
        <v>50</v>
      </c>
      <c r="M54" s="138"/>
      <c r="N54" s="3"/>
    </row>
    <row r="55" spans="1:14" ht="13.5" thickBot="1">
      <c r="A55" s="371" t="s">
        <v>67</v>
      </c>
      <c r="B55" s="372"/>
      <c r="C55" s="100"/>
      <c r="D55" s="100"/>
      <c r="E55" s="101">
        <v>0.75</v>
      </c>
      <c r="F55" s="102">
        <f>E55*25.4</f>
        <v>19.049999999999997</v>
      </c>
      <c r="G55" s="2"/>
      <c r="H55" s="139" t="s">
        <v>82</v>
      </c>
      <c r="I55" s="10"/>
      <c r="J55" s="10">
        <v>1</v>
      </c>
      <c r="K55" s="88">
        <v>1</v>
      </c>
      <c r="L55" s="10">
        <v>55</v>
      </c>
      <c r="M55" s="138"/>
      <c r="N55"/>
    </row>
    <row r="56" spans="1:22" ht="13.5" thickBot="1">
      <c r="A56" s="2"/>
      <c r="B56" s="2"/>
      <c r="E56" s="93"/>
      <c r="F56" s="92"/>
      <c r="G56" s="2"/>
      <c r="H56" s="140" t="s">
        <v>83</v>
      </c>
      <c r="I56" s="141"/>
      <c r="J56" s="141">
        <v>0.75</v>
      </c>
      <c r="K56" s="100">
        <v>0.75</v>
      </c>
      <c r="L56" s="141">
        <v>65</v>
      </c>
      <c r="M56" s="142"/>
      <c r="N56"/>
      <c r="P56" s="2"/>
      <c r="Q56" s="2"/>
      <c r="R56" s="2"/>
      <c r="S56" s="2"/>
      <c r="T56" s="2"/>
      <c r="U56" s="2"/>
      <c r="V56" s="2"/>
    </row>
    <row r="57" spans="14:21" ht="12.75">
      <c r="N57"/>
      <c r="P57" s="2"/>
      <c r="Q57" s="2"/>
      <c r="R57" s="2"/>
      <c r="S57" s="2"/>
      <c r="T57" s="2"/>
      <c r="U57" s="2"/>
    </row>
    <row r="58" spans="7:21" ht="13.5" thickBot="1">
      <c r="G58" s="15"/>
      <c r="N58"/>
      <c r="P58" s="2"/>
      <c r="Q58" s="2"/>
      <c r="R58" s="2"/>
      <c r="S58" s="2"/>
      <c r="T58" s="2"/>
      <c r="U58" s="2"/>
    </row>
    <row r="59" spans="1:20" ht="25.5" customHeight="1">
      <c r="A59" s="17" t="s">
        <v>89</v>
      </c>
      <c r="B59" s="18"/>
      <c r="C59" s="18"/>
      <c r="D59" s="19"/>
      <c r="E59" s="19"/>
      <c r="F59" s="36"/>
      <c r="H59" s="117" t="s">
        <v>90</v>
      </c>
      <c r="I59" s="35"/>
      <c r="J59" s="35"/>
      <c r="K59" s="24"/>
      <c r="L59" s="24"/>
      <c r="M59" s="37"/>
      <c r="N59"/>
      <c r="O59" s="2"/>
      <c r="P59" s="2"/>
      <c r="Q59" s="2"/>
      <c r="R59" s="2"/>
      <c r="S59" s="2"/>
      <c r="T59" s="2"/>
    </row>
    <row r="60" spans="1:20" ht="39.75" customHeight="1">
      <c r="A60" s="77" t="s">
        <v>21</v>
      </c>
      <c r="B60" s="78"/>
      <c r="C60" s="78"/>
      <c r="D60" s="78"/>
      <c r="E60" s="79" t="s">
        <v>60</v>
      </c>
      <c r="F60" s="80" t="s">
        <v>58</v>
      </c>
      <c r="H60" s="383" t="s">
        <v>21</v>
      </c>
      <c r="I60" s="384"/>
      <c r="J60" s="384"/>
      <c r="K60" s="81"/>
      <c r="L60" s="79" t="s">
        <v>59</v>
      </c>
      <c r="M60" s="82" t="s">
        <v>58</v>
      </c>
      <c r="N60"/>
      <c r="O60" s="2"/>
      <c r="P60" s="2"/>
      <c r="Q60" s="2"/>
      <c r="R60" s="2"/>
      <c r="S60" s="2"/>
      <c r="T60" s="2"/>
    </row>
    <row r="61" spans="1:20" ht="12.75" customHeight="1">
      <c r="A61" s="20" t="s">
        <v>7</v>
      </c>
      <c r="B61" s="10"/>
      <c r="C61" s="8" t="s">
        <v>11</v>
      </c>
      <c r="D61" s="119"/>
      <c r="E61" s="68">
        <v>1.518</v>
      </c>
      <c r="F61" s="70">
        <f>25.4*E61</f>
        <v>38.5572</v>
      </c>
      <c r="H61" s="385" t="s">
        <v>0</v>
      </c>
      <c r="I61" s="365"/>
      <c r="J61" s="365"/>
      <c r="K61" s="30"/>
      <c r="L61" s="68">
        <v>0.23</v>
      </c>
      <c r="M61" s="74">
        <f aca="true" t="shared" si="2" ref="M61:M67">25.4*L61</f>
        <v>5.842</v>
      </c>
      <c r="N61"/>
      <c r="O61" s="2"/>
      <c r="P61" s="2"/>
      <c r="Q61" s="2"/>
      <c r="R61" s="2"/>
      <c r="S61" s="2"/>
      <c r="T61" s="2"/>
    </row>
    <row r="62" spans="1:14" ht="12.75">
      <c r="A62" s="21"/>
      <c r="B62" s="8"/>
      <c r="C62" s="8" t="s">
        <v>10</v>
      </c>
      <c r="E62" s="68">
        <v>0.644</v>
      </c>
      <c r="F62" s="70">
        <f aca="true" t="shared" si="3" ref="F62:F74">25.4*E62</f>
        <v>16.357599999999998</v>
      </c>
      <c r="H62" s="385" t="s">
        <v>1</v>
      </c>
      <c r="I62" s="365"/>
      <c r="J62" s="365"/>
      <c r="K62" s="30"/>
      <c r="L62" s="68">
        <v>0.39</v>
      </c>
      <c r="M62" s="74">
        <f t="shared" si="2"/>
        <v>9.906</v>
      </c>
      <c r="N62"/>
    </row>
    <row r="63" spans="1:14" ht="12.75" customHeight="1">
      <c r="A63" s="21" t="s">
        <v>8</v>
      </c>
      <c r="B63" s="120"/>
      <c r="C63" s="8" t="s">
        <v>11</v>
      </c>
      <c r="D63" s="119"/>
      <c r="E63" s="68">
        <v>0.734</v>
      </c>
      <c r="F63" s="70">
        <f t="shared" si="3"/>
        <v>18.6436</v>
      </c>
      <c r="H63" s="385" t="s">
        <v>2</v>
      </c>
      <c r="I63" s="365"/>
      <c r="J63" s="365"/>
      <c r="K63" s="30"/>
      <c r="L63" s="68">
        <v>0.45</v>
      </c>
      <c r="M63" s="74">
        <f t="shared" si="2"/>
        <v>11.43</v>
      </c>
      <c r="N63"/>
    </row>
    <row r="64" spans="1:14" ht="12.75">
      <c r="A64" s="21"/>
      <c r="B64" s="8"/>
      <c r="C64" s="8" t="s">
        <v>10</v>
      </c>
      <c r="E64" s="68">
        <v>0.17</v>
      </c>
      <c r="F64" s="70">
        <f t="shared" si="3"/>
        <v>4.3180000000000005</v>
      </c>
      <c r="H64" s="118" t="s">
        <v>3</v>
      </c>
      <c r="I64" s="8"/>
      <c r="J64" s="8"/>
      <c r="K64" s="30"/>
      <c r="L64" s="68">
        <v>0.28</v>
      </c>
      <c r="M64" s="74">
        <f t="shared" si="2"/>
        <v>7.112</v>
      </c>
      <c r="N64"/>
    </row>
    <row r="65" spans="1:14" ht="12.75">
      <c r="A65" s="391" t="s">
        <v>12</v>
      </c>
      <c r="B65" s="351"/>
      <c r="C65" s="8"/>
      <c r="E65" s="68">
        <v>0.202</v>
      </c>
      <c r="F65" s="70">
        <f t="shared" si="3"/>
        <v>5.1308</v>
      </c>
      <c r="H65" s="118" t="s">
        <v>4</v>
      </c>
      <c r="I65" s="8"/>
      <c r="J65" s="8"/>
      <c r="K65" s="30"/>
      <c r="L65" s="68">
        <v>0.04</v>
      </c>
      <c r="M65" s="74">
        <f t="shared" si="2"/>
        <v>1.016</v>
      </c>
      <c r="N65"/>
    </row>
    <row r="66" spans="1:14" ht="12.75">
      <c r="A66" s="121" t="s">
        <v>9</v>
      </c>
      <c r="B66" s="119"/>
      <c r="C66" s="8" t="s">
        <v>13</v>
      </c>
      <c r="E66" s="68">
        <v>0.008</v>
      </c>
      <c r="F66" s="70">
        <f t="shared" si="3"/>
        <v>0.2032</v>
      </c>
      <c r="H66" s="385" t="s">
        <v>22</v>
      </c>
      <c r="I66" s="351"/>
      <c r="J66" s="8"/>
      <c r="K66" s="30"/>
      <c r="L66" s="68">
        <v>0.02</v>
      </c>
      <c r="M66" s="74">
        <f t="shared" si="2"/>
        <v>0.508</v>
      </c>
      <c r="N66"/>
    </row>
    <row r="67" spans="2:14" ht="12.75">
      <c r="B67" s="10"/>
      <c r="C67" s="8" t="s">
        <v>14</v>
      </c>
      <c r="E67" s="68">
        <v>0.017</v>
      </c>
      <c r="F67" s="70">
        <f t="shared" si="3"/>
        <v>0.4318</v>
      </c>
      <c r="G67" s="2"/>
      <c r="H67" s="373" t="s">
        <v>5</v>
      </c>
      <c r="I67" s="374"/>
      <c r="J67" s="374"/>
      <c r="K67" s="374"/>
      <c r="L67" s="68">
        <v>0.21</v>
      </c>
      <c r="M67" s="74">
        <f t="shared" si="2"/>
        <v>5.334</v>
      </c>
      <c r="N67"/>
    </row>
    <row r="68" spans="1:14" ht="12.75">
      <c r="A68" s="20" t="s">
        <v>15</v>
      </c>
      <c r="B68" s="10"/>
      <c r="C68" s="10"/>
      <c r="D68" s="10"/>
      <c r="E68" s="68">
        <v>0.21</v>
      </c>
      <c r="F68" s="70">
        <f t="shared" si="3"/>
        <v>5.334</v>
      </c>
      <c r="G68" s="2"/>
      <c r="H68" s="373"/>
      <c r="I68" s="374"/>
      <c r="J68" s="374"/>
      <c r="K68" s="374"/>
      <c r="L68" s="72"/>
      <c r="M68" s="75"/>
      <c r="N68"/>
    </row>
    <row r="69" spans="1:14" ht="13.5" thickBot="1">
      <c r="A69" s="20" t="s">
        <v>3</v>
      </c>
      <c r="B69" s="10"/>
      <c r="C69" s="10"/>
      <c r="D69" s="10"/>
      <c r="E69" s="68">
        <v>0.089</v>
      </c>
      <c r="F69" s="70">
        <f t="shared" si="3"/>
        <v>2.2605999999999997</v>
      </c>
      <c r="G69" s="2"/>
      <c r="H69" s="381" t="s">
        <v>6</v>
      </c>
      <c r="I69" s="382"/>
      <c r="J69" s="382"/>
      <c r="K69" s="31"/>
      <c r="L69" s="73">
        <v>0.07</v>
      </c>
      <c r="M69" s="76">
        <f>25.4*L69</f>
        <v>1.778</v>
      </c>
      <c r="N69"/>
    </row>
    <row r="70" spans="1:14" ht="12.75">
      <c r="A70" s="20" t="s">
        <v>16</v>
      </c>
      <c r="B70" s="10"/>
      <c r="C70" s="10"/>
      <c r="D70" s="10"/>
      <c r="E70" s="68">
        <v>0.089</v>
      </c>
      <c r="F70" s="70">
        <f t="shared" si="3"/>
        <v>2.2605999999999997</v>
      </c>
      <c r="G70" s="2"/>
      <c r="N70"/>
    </row>
    <row r="71" spans="1:14" ht="12.75">
      <c r="A71" s="20" t="s">
        <v>17</v>
      </c>
      <c r="B71" s="10"/>
      <c r="C71" s="10"/>
      <c r="D71" s="10"/>
      <c r="E71" s="68">
        <v>0.089</v>
      </c>
      <c r="F71" s="70">
        <f t="shared" si="3"/>
        <v>2.2605999999999997</v>
      </c>
      <c r="G71" s="2"/>
      <c r="N71"/>
    </row>
    <row r="72" spans="1:14" ht="12.75">
      <c r="A72" s="20" t="s">
        <v>18</v>
      </c>
      <c r="B72" s="10"/>
      <c r="C72" s="10"/>
      <c r="D72" s="10"/>
      <c r="E72" s="68">
        <v>0.076</v>
      </c>
      <c r="F72" s="70">
        <f t="shared" si="3"/>
        <v>1.9304</v>
      </c>
      <c r="G72" s="2"/>
      <c r="N72"/>
    </row>
    <row r="73" spans="1:6" ht="12.75">
      <c r="A73" s="20" t="s">
        <v>19</v>
      </c>
      <c r="B73" s="10"/>
      <c r="C73" s="10"/>
      <c r="D73" s="10"/>
      <c r="E73" s="68">
        <v>0.035</v>
      </c>
      <c r="F73" s="70">
        <f t="shared" si="3"/>
        <v>0.889</v>
      </c>
    </row>
    <row r="74" spans="1:6" ht="13.5" thickBot="1">
      <c r="A74" s="22" t="s">
        <v>20</v>
      </c>
      <c r="B74" s="23"/>
      <c r="C74" s="23"/>
      <c r="D74" s="23"/>
      <c r="E74" s="69">
        <v>0.003</v>
      </c>
      <c r="F74" s="71">
        <f t="shared" si="3"/>
        <v>0.0762</v>
      </c>
    </row>
    <row r="75" ht="13.5" thickBot="1"/>
    <row r="76" spans="1:6" ht="15.75">
      <c r="A76" s="158" t="s">
        <v>116</v>
      </c>
      <c r="B76" s="159"/>
      <c r="C76" s="159"/>
      <c r="D76" s="159"/>
      <c r="E76" s="159"/>
      <c r="F76" s="160"/>
    </row>
    <row r="77" spans="1:6" ht="15">
      <c r="A77" s="161"/>
      <c r="B77" s="88"/>
      <c r="C77" s="88"/>
      <c r="D77" s="88"/>
      <c r="E77" s="88"/>
      <c r="F77" s="149"/>
    </row>
    <row r="78" spans="1:15" ht="78.75" customHeight="1">
      <c r="A78" s="338" t="s">
        <v>94</v>
      </c>
      <c r="B78" s="356"/>
      <c r="C78" s="147" t="s">
        <v>95</v>
      </c>
      <c r="D78" s="336" t="s">
        <v>97</v>
      </c>
      <c r="E78" s="147" t="s">
        <v>98</v>
      </c>
      <c r="F78" s="337" t="s">
        <v>100</v>
      </c>
      <c r="N78"/>
      <c r="O78" s="1"/>
    </row>
    <row r="79" spans="1:15" ht="20.25" customHeight="1">
      <c r="A79" s="338"/>
      <c r="B79" s="357"/>
      <c r="C79" s="148" t="s">
        <v>96</v>
      </c>
      <c r="D79" s="336"/>
      <c r="E79" s="148" t="s">
        <v>99</v>
      </c>
      <c r="F79" s="337"/>
      <c r="N79"/>
      <c r="O79" s="1"/>
    </row>
    <row r="80" spans="1:15" ht="20.25" customHeight="1">
      <c r="A80" s="338"/>
      <c r="B80" s="357"/>
      <c r="C80" s="120"/>
      <c r="D80" s="336"/>
      <c r="E80" s="148" t="s">
        <v>96</v>
      </c>
      <c r="F80" s="337"/>
      <c r="N80"/>
      <c r="O80" s="1"/>
    </row>
    <row r="81" spans="1:15" ht="102" customHeight="1">
      <c r="A81" s="358" t="s">
        <v>101</v>
      </c>
      <c r="B81" s="357"/>
      <c r="C81" s="150" t="s">
        <v>102</v>
      </c>
      <c r="D81" s="150" t="s">
        <v>103</v>
      </c>
      <c r="E81" s="150" t="s">
        <v>115</v>
      </c>
      <c r="F81" s="151" t="s">
        <v>104</v>
      </c>
      <c r="N81"/>
      <c r="O81" s="1"/>
    </row>
    <row r="82" spans="1:15" ht="129.75" customHeight="1">
      <c r="A82" s="358" t="s">
        <v>105</v>
      </c>
      <c r="B82" s="357"/>
      <c r="C82" s="150" t="s">
        <v>106</v>
      </c>
      <c r="D82" s="150" t="s">
        <v>107</v>
      </c>
      <c r="E82" s="150" t="s">
        <v>108</v>
      </c>
      <c r="F82" s="151" t="s">
        <v>107</v>
      </c>
      <c r="N82"/>
      <c r="O82" s="1"/>
    </row>
    <row r="83" spans="1:15" ht="85.5" customHeight="1">
      <c r="A83" s="358" t="s">
        <v>109</v>
      </c>
      <c r="B83" s="357"/>
      <c r="C83" s="150" t="s">
        <v>110</v>
      </c>
      <c r="D83" s="150" t="s">
        <v>102</v>
      </c>
      <c r="E83" s="150" t="s">
        <v>110</v>
      </c>
      <c r="F83" s="151" t="s">
        <v>111</v>
      </c>
      <c r="N83"/>
      <c r="O83" s="1"/>
    </row>
    <row r="84" spans="1:15" ht="58.5" customHeight="1" thickBot="1">
      <c r="A84" s="343" t="s">
        <v>112</v>
      </c>
      <c r="B84" s="335"/>
      <c r="C84" s="152" t="s">
        <v>113</v>
      </c>
      <c r="D84" s="152" t="s">
        <v>106</v>
      </c>
      <c r="E84" s="152" t="s">
        <v>114</v>
      </c>
      <c r="F84" s="153" t="s">
        <v>108</v>
      </c>
      <c r="N84"/>
      <c r="O84" s="1"/>
    </row>
    <row r="85" ht="13.5" thickBot="1"/>
    <row r="86" spans="1:9" ht="15.75">
      <c r="A86" s="165" t="s">
        <v>126</v>
      </c>
      <c r="B86" s="166"/>
      <c r="C86" s="166"/>
      <c r="D86" s="167"/>
      <c r="F86" s="170" t="s">
        <v>135</v>
      </c>
      <c r="G86" s="171"/>
      <c r="H86" s="171"/>
      <c r="I86" s="172"/>
    </row>
    <row r="87" spans="1:15" ht="106.5">
      <c r="A87" s="162" t="s">
        <v>117</v>
      </c>
      <c r="B87" s="163" t="s">
        <v>118</v>
      </c>
      <c r="C87" s="163"/>
      <c r="D87" s="164" t="s">
        <v>119</v>
      </c>
      <c r="F87" s="340" t="s">
        <v>127</v>
      </c>
      <c r="G87" s="341"/>
      <c r="H87" s="168" t="s">
        <v>128</v>
      </c>
      <c r="I87" s="169" t="s">
        <v>129</v>
      </c>
      <c r="N87"/>
      <c r="O87" s="1"/>
    </row>
    <row r="88" spans="1:15" ht="72" customHeight="1">
      <c r="A88" s="173">
        <v>1</v>
      </c>
      <c r="B88" s="342" t="s">
        <v>120</v>
      </c>
      <c r="C88" s="342"/>
      <c r="D88" s="154" t="s">
        <v>121</v>
      </c>
      <c r="F88" s="350" t="s">
        <v>130</v>
      </c>
      <c r="G88" s="351"/>
      <c r="H88" s="150" t="s">
        <v>131</v>
      </c>
      <c r="I88" s="155" t="s">
        <v>132</v>
      </c>
      <c r="N88"/>
      <c r="O88" s="1"/>
    </row>
    <row r="89" spans="1:15" ht="60.75" customHeight="1" thickBot="1">
      <c r="A89" s="173">
        <v>2</v>
      </c>
      <c r="B89" s="342" t="s">
        <v>122</v>
      </c>
      <c r="C89" s="342"/>
      <c r="D89" s="154" t="s">
        <v>110</v>
      </c>
      <c r="F89" s="352" t="s">
        <v>130</v>
      </c>
      <c r="G89" s="353"/>
      <c r="H89" s="156" t="s">
        <v>133</v>
      </c>
      <c r="I89" s="157" t="s">
        <v>134</v>
      </c>
      <c r="N89"/>
      <c r="O89" s="1"/>
    </row>
    <row r="90" spans="1:15" ht="114.75" customHeight="1">
      <c r="A90" s="173">
        <v>3</v>
      </c>
      <c r="B90" s="342" t="s">
        <v>123</v>
      </c>
      <c r="C90" s="342"/>
      <c r="D90" s="154" t="s">
        <v>124</v>
      </c>
      <c r="N90"/>
      <c r="O90" s="1"/>
    </row>
    <row r="91" spans="1:4" ht="15" thickBot="1">
      <c r="A91" s="354" t="s">
        <v>125</v>
      </c>
      <c r="B91" s="355"/>
      <c r="C91" s="355"/>
      <c r="D91" s="339"/>
    </row>
    <row r="95" ht="12.75">
      <c r="A95" s="347" t="s">
        <v>143</v>
      </c>
    </row>
    <row r="97" spans="1:20" ht="51.75" customHeight="1">
      <c r="A97" s="348" t="s">
        <v>184</v>
      </c>
      <c r="B97" s="349"/>
      <c r="C97" s="349"/>
      <c r="D97" s="349"/>
      <c r="E97" s="349"/>
      <c r="F97" s="349"/>
      <c r="G97" s="349"/>
      <c r="H97" s="349"/>
      <c r="I97" s="349"/>
      <c r="J97" s="349"/>
      <c r="K97" s="349"/>
      <c r="L97" s="349"/>
      <c r="M97" s="349"/>
      <c r="N97" s="349"/>
      <c r="O97" s="349"/>
      <c r="P97" s="349"/>
      <c r="Q97" s="349"/>
      <c r="R97" s="349"/>
      <c r="S97" s="349"/>
      <c r="T97" s="349"/>
    </row>
    <row r="100" spans="1:4" ht="15">
      <c r="A100" s="91" t="s">
        <v>144</v>
      </c>
      <c r="D100" s="15" t="s">
        <v>64</v>
      </c>
    </row>
    <row r="103" ht="15">
      <c r="A103" s="11"/>
    </row>
  </sheetData>
  <sheetProtection password="9A04" sheet="1" objects="1" scenarios="1" selectLockedCells="1"/>
  <mergeCells count="48">
    <mergeCell ref="G9:H9"/>
    <mergeCell ref="G10:H10"/>
    <mergeCell ref="Q9:R9"/>
    <mergeCell ref="Q10:R10"/>
    <mergeCell ref="H51:I53"/>
    <mergeCell ref="J51:K53"/>
    <mergeCell ref="L51:M53"/>
    <mergeCell ref="A65:B65"/>
    <mergeCell ref="H69:J69"/>
    <mergeCell ref="H60:J60"/>
    <mergeCell ref="H61:J61"/>
    <mergeCell ref="H62:J62"/>
    <mergeCell ref="H63:J63"/>
    <mergeCell ref="H66:I66"/>
    <mergeCell ref="H40:J40"/>
    <mergeCell ref="H37:J37"/>
    <mergeCell ref="A55:B55"/>
    <mergeCell ref="H67:K68"/>
    <mergeCell ref="A51:C51"/>
    <mergeCell ref="B40:G40"/>
    <mergeCell ref="A47:E47"/>
    <mergeCell ref="A44:E44"/>
    <mergeCell ref="A45:E45"/>
    <mergeCell ref="A46:F46"/>
    <mergeCell ref="A6:R6"/>
    <mergeCell ref="A7:S7"/>
    <mergeCell ref="A5:S5"/>
    <mergeCell ref="A83:B83"/>
    <mergeCell ref="H34:J34"/>
    <mergeCell ref="H38:J38"/>
    <mergeCell ref="H39:J39"/>
    <mergeCell ref="B37:G37"/>
    <mergeCell ref="B38:G38"/>
    <mergeCell ref="B39:G39"/>
    <mergeCell ref="A84:B84"/>
    <mergeCell ref="D78:D80"/>
    <mergeCell ref="F78:F80"/>
    <mergeCell ref="A78:B80"/>
    <mergeCell ref="A81:B81"/>
    <mergeCell ref="A82:B82"/>
    <mergeCell ref="F87:G87"/>
    <mergeCell ref="B89:C89"/>
    <mergeCell ref="B90:C90"/>
    <mergeCell ref="B88:C88"/>
    <mergeCell ref="A97:T97"/>
    <mergeCell ref="F88:G88"/>
    <mergeCell ref="F89:G89"/>
    <mergeCell ref="A91:D91"/>
  </mergeCells>
  <dataValidations count="6">
    <dataValidation errorStyle="warning" type="decimal" operator="greaterThan" allowBlank="1" showInputMessage="1" showErrorMessage="1" error="Distance cannot be 0" sqref="C10:D10">
      <formula1>0</formula1>
    </dataValidation>
    <dataValidation type="decimal" operator="greaterThan" allowBlank="1" showInputMessage="1" showErrorMessage="1" error="PPV cannot be zero" sqref="E10">
      <formula1>0</formula1>
    </dataValidation>
    <dataValidation errorStyle="warning" type="decimal" operator="greaterThan" allowBlank="1" showInputMessage="1" showErrorMessage="1" error="PPV cannot be zero" sqref="O10">
      <formula1>0</formula1>
    </dataValidation>
    <dataValidation type="decimal" operator="greaterThan" allowBlank="1" showInputMessage="1" showErrorMessage="1" error="Distance cannot be 0" sqref="M10:N10">
      <formula1>0</formula1>
    </dataValidation>
    <dataValidation errorStyle="warning" type="decimal" operator="greaterThan" allowBlank="1" showInputMessage="1" showErrorMessage="1" error="Value, if any, must be geater than 0" sqref="I10">
      <formula1>0</formula1>
    </dataValidation>
    <dataValidation type="decimal" operator="greaterThan" allowBlank="1" showInputMessage="1" showErrorMessage="1" error="Value, if any, must be greater than 0" sqref="S10">
      <formula1>0</formula1>
    </dataValidation>
  </dataValidations>
  <hyperlinks>
    <hyperlink ref="A95" r:id="rId1" display="See http://vibrationdamage.com/vibration_and_distance.htm for more information and interpretation of these numbers"/>
    <hyperlink ref="A6:R6" r:id="rId2" display="For more help and tips on using the Calculator, see https://vibrationdamage.com/vibration_calculator.htm"/>
    <hyperlink ref="D4" location="'Const. Vib. Calc.'!A66" display="Reference section"/>
    <hyperlink ref="G4" location="'Const. Vib. Calc.'!C10" display="Calculate in U.S. units"/>
    <hyperlink ref="L4" location="'Const. Vib. Calc.'!M10" display="Calculate in metric units"/>
    <hyperlink ref="B4" r:id="rId3" display="Online documentation"/>
    <hyperlink ref="O4" location="'Const. Vib. Calc.'!A97" display="Disclaimer"/>
    <hyperlink ref="A8" location="'Const. Vib. Calc.'!A30" display="See Reference section below the calculation panes for PPVref values and explanation of appropriate exponents for various locales and soil types."/>
  </hyperlinks>
  <printOptions/>
  <pageMargins left="0.75" right="0.75" top="0.56" bottom="1" header="0.28" footer="0.5"/>
  <pageSetup horizontalDpi="600" verticalDpi="600" orientation="landscape" scale="60" r:id="rId5"/>
  <drawing r:id="rId4"/>
</worksheet>
</file>

<file path=xl/worksheets/sheet2.xml><?xml version="1.0" encoding="utf-8"?>
<worksheet xmlns="http://schemas.openxmlformats.org/spreadsheetml/2006/main" xmlns:r="http://schemas.openxmlformats.org/officeDocument/2006/relationships">
  <dimension ref="B1:N69"/>
  <sheetViews>
    <sheetView workbookViewId="0" topLeftCell="A1">
      <selection activeCell="I4" sqref="I4"/>
    </sheetView>
  </sheetViews>
  <sheetFormatPr defaultColWidth="9.140625" defaultRowHeight="12.75"/>
  <cols>
    <col min="2" max="2" width="12.57421875" style="0" customWidth="1"/>
    <col min="3" max="3" width="13.140625" style="0" customWidth="1"/>
    <col min="4" max="4" width="16.28125" style="0" customWidth="1"/>
    <col min="5" max="5" width="11.8515625" style="0" customWidth="1"/>
    <col min="6" max="6" width="15.00390625" style="0" customWidth="1"/>
    <col min="7" max="7" width="18.57421875" style="0" customWidth="1"/>
    <col min="8" max="8" width="16.140625" style="209" customWidth="1"/>
    <col min="9" max="9" width="15.7109375" style="0" customWidth="1"/>
    <col min="10" max="10" width="13.8515625" style="0" customWidth="1"/>
    <col min="11" max="11" width="16.57421875" style="0" customWidth="1"/>
    <col min="12" max="12" width="17.28125" style="0" customWidth="1"/>
    <col min="13" max="13" width="17.7109375" style="0" customWidth="1"/>
  </cols>
  <sheetData>
    <row r="1" spans="5:9" ht="18">
      <c r="E1" s="392" t="s">
        <v>145</v>
      </c>
      <c r="F1" s="393"/>
      <c r="G1" s="393"/>
      <c r="H1" s="393"/>
      <c r="I1" s="393"/>
    </row>
    <row r="2" ht="21">
      <c r="G2" s="208" t="s">
        <v>153</v>
      </c>
    </row>
    <row r="3" ht="18.75" thickBot="1">
      <c r="E3" s="208"/>
    </row>
    <row r="4" spans="2:11" ht="13.5" thickBot="1">
      <c r="B4" s="334" t="s">
        <v>158</v>
      </c>
      <c r="D4" s="334" t="s">
        <v>159</v>
      </c>
      <c r="F4" s="334" t="s">
        <v>151</v>
      </c>
      <c r="G4" s="344" t="s">
        <v>161</v>
      </c>
      <c r="H4" s="334" t="s">
        <v>146</v>
      </c>
      <c r="I4" s="334" t="s">
        <v>182</v>
      </c>
      <c r="K4" s="345" t="s">
        <v>163</v>
      </c>
    </row>
    <row r="5" spans="2:12" ht="89.25" customHeight="1" thickBot="1">
      <c r="B5" s="394" t="s">
        <v>187</v>
      </c>
      <c r="C5" s="395"/>
      <c r="D5" s="395"/>
      <c r="E5" s="395"/>
      <c r="F5" s="395"/>
      <c r="G5" s="395"/>
      <c r="H5" s="395"/>
      <c r="I5" s="395"/>
      <c r="J5" s="395"/>
      <c r="K5" s="395"/>
      <c r="L5" s="395"/>
    </row>
    <row r="6" spans="2:13" ht="19.5" thickBot="1">
      <c r="B6" s="263"/>
      <c r="C6" s="264"/>
      <c r="D6" s="264"/>
      <c r="E6" s="265" t="s">
        <v>147</v>
      </c>
      <c r="F6" s="264"/>
      <c r="G6" s="264"/>
      <c r="H6" s="212" t="s">
        <v>148</v>
      </c>
      <c r="I6" s="400" t="s">
        <v>188</v>
      </c>
      <c r="J6" s="401"/>
      <c r="K6" s="401"/>
      <c r="L6" s="401"/>
      <c r="M6" s="402"/>
    </row>
    <row r="7" spans="2:13" ht="130.5" customHeight="1" thickBot="1">
      <c r="B7" s="255" t="s">
        <v>183</v>
      </c>
      <c r="C7" s="256" t="s">
        <v>180</v>
      </c>
      <c r="D7" s="257" t="s">
        <v>154</v>
      </c>
      <c r="E7" s="258" t="s">
        <v>179</v>
      </c>
      <c r="F7" s="259" t="s">
        <v>192</v>
      </c>
      <c r="G7" s="260" t="s">
        <v>178</v>
      </c>
      <c r="I7" s="261" t="s">
        <v>193</v>
      </c>
      <c r="J7" s="262" t="str">
        <f>CONCATENATE("Scaled distance (SD, Ds) (ft/(lb^",D8," or m/(kg^",D8,")")</f>
        <v>Scaled distance (SD, Ds) (ft/(lb^0.5 or m/(kg^0.5)</v>
      </c>
      <c r="K7" s="275" t="s">
        <v>189</v>
      </c>
      <c r="L7" s="276" t="s">
        <v>190</v>
      </c>
      <c r="M7" s="302" t="s">
        <v>191</v>
      </c>
    </row>
    <row r="8" spans="2:14" ht="50.25" customHeight="1" thickBot="1" thickTop="1">
      <c r="B8" s="236">
        <v>1</v>
      </c>
      <c r="C8" s="280">
        <v>15</v>
      </c>
      <c r="D8" s="280">
        <v>0.5</v>
      </c>
      <c r="E8" s="281">
        <v>200</v>
      </c>
      <c r="F8" s="281">
        <v>1.6</v>
      </c>
      <c r="G8" s="309">
        <v>150</v>
      </c>
      <c r="H8" s="313">
        <f>IF(B8="","",IF(C8="","Enter charge weight",IF(D8="","Enter scaling (0.5 or 0.33)",IF(E8="","Enter distance",IF(F8="","Enter b exponent",IF(AND(G8="",B8=1),"Enter U.S. K factor",IF(AND(B8=2,G8&lt;500),"Enter metric K factor","")))))))</f>
      </c>
      <c r="I8" s="299">
        <f>IF(SUM(C8:G8)=0,"",IF(AND(H8="",B8=1),ROUND(G8*((E8/(C8^D8))^-F8),2),IF(AND(H8="",B8=2),ROUND(G8*((E8/(C8^D8))^-F8),2),"")))</f>
        <v>0.27</v>
      </c>
      <c r="J8" s="310">
        <f>IF(SUM(C8:G8)=0,"",IF(H8="",E8/(C8^D8),""))</f>
        <v>51.63977794943222</v>
      </c>
      <c r="K8" s="282">
        <f>IF(OR(E8="",C8="",B8="",D8&lt;&gt;0.5),"",IF(AND(B8=2,E8&lt;=300),(E8/22.6)^2,IF(AND(B8=2,E8&gt;=5001),(E8/29.4)^2,IF(B8=2,(E8/24.9)^2,IF(E8&lt;=300,(E8/50)^2,IF(E8&gt;=5001,(E8/65)^2,(E8/55)^2))))))</f>
        <v>16</v>
      </c>
      <c r="L8" s="308">
        <f>IF(OR(H8&lt;&gt;"",D8&lt;&gt;0.5),"",IF(AND(B8=2,E8&lt;=91.44),10^(-2*((LOG(G8)-LOG($K$59))/F8-LOG(E8))),IF(AND(B8=2,E8&gt;=1524.3),10^(-2*((LOG(G8)-LOG($K$61))/F8-LOG(E8))),IF(B8=2,10^(-2*((LOG(G8)-LOG($K$60))/F8-LOG(E8))),IF(AND(B8=1,E8&lt;=300),10^(-2*((LOG(G8)-LOG($J$59))/F8-LOG(E8))),IF(AND(B8=1,E8&gt;=5001),10^(-2*((LOG(G8)-LOG($J$61))/F8-LOG(E8))),IF(B8=1,10^(-2*((LOG(G8)-LOG($J$60))/F8-LOG(E8))),"")))))))</f>
        <v>100.71251324522558</v>
      </c>
      <c r="M8" s="283">
        <f>IF(OR(H8&lt;&gt;"",D8&lt;&gt;0.5),"",IF(AND(B8=2,E8&lt;=91.44),10^(LOG(E8)-(LOG($K$59)-LOG(I8))/F8),IF(AND(B8=2,E8&gt;=1524.3),10^(LOG(E8)-(LOG($K$61)-LOG(I8))/F8),IF(B8=2,10^(LOG(E8)-(LOG($K$60)-LOG(I8))/F8),IF(AND(B8=1,E8&lt;=300),10^(LOG(E8)-(LOG($J$59)-LOG(I8))/F8),IF(AND(B8=1,E8&gt;=5001),10^(LOG(E8)-(LOG($J$61)-LOG(I8))/F8),IF(B8=1,10^(LOG(E8)-(LOG($J$60)-LOG(I8))/F8),"")))))))</f>
        <v>76.74738559565091</v>
      </c>
      <c r="N8" s="233"/>
    </row>
    <row r="9" spans="2:13" ht="35.25" customHeight="1" thickBot="1" thickTop="1">
      <c r="B9" s="284"/>
      <c r="C9" s="290"/>
      <c r="D9" s="287"/>
      <c r="E9" s="296"/>
      <c r="F9" s="293"/>
      <c r="G9" s="293"/>
      <c r="H9" s="314">
        <f aca="true" t="shared" si="0" ref="H9:H21">IF(B9="","",IF(C9="","Enter charge weight",IF(D9="","Enter scaling (0.5 or 0.33)",IF(E9="","Enter distance",IF(F9="","Enter b exponent",IF(AND(G9="",B9=1),"Enter U.S. K factor",IF(AND(B9=2,G9&lt;500),"Enter metric K factor","")))))))</f>
      </c>
      <c r="I9" s="300">
        <f>IF(SUM(C9:G9)=0,"",IF(AND(H9="",B9=1),ROUND(G9*((E9/(C9^D9))^-F9),2),IF(AND(H9="",B9=2),ROUND(G9*((E9/(C9^D9))^-F9),2),"")))</f>
      </c>
      <c r="J9" s="311">
        <f>IF(SUM(C9:G9)=0,"",IF(H9="",E9/(C9^D9),""))</f>
      </c>
      <c r="K9" s="305">
        <f>IF(OR(E9="",C9="",B9="",D9&lt;&gt;0.5),"",IF(AND(B9=2,E9&lt;=300),(E9/22.6)^2,IF(AND(B9=2,E9&gt;=5001),(E9/29.4)^2,IF(B9=2,(E9/24.9)^2,IF(E9&lt;=300,(E9/50)^2,IF(E9&gt;=5001,(E9/65)^2,(E9/55)^2))))))</f>
      </c>
      <c r="L9" s="303">
        <f aca="true" t="shared" si="1" ref="L9:L21">IF(OR(H9&lt;&gt;"",D9&lt;&gt;0.5),"",IF(AND(B9=2,E9&lt;=91.44),10^(-2*((LOG(G9)-LOG($K$59))/F9-LOG(E9))),IF(AND(B9=2,E9&gt;=1524.3),10^(-2*((LOG(G9)-LOG($K$61))/F9-LOG(E9))),IF(B9=2,10^(-2*((LOG(G9)-LOG($K$60))/F9-LOG(E9))),IF(AND(B9=1,E9&lt;=300),10^(-2*((LOG(G9)-LOG($J$59))/F9-LOG(E9))),IF(AND(B9=1,E9&gt;=5001),10^(-2*((LOG(G9)-LOG($J$61))/F9-LOG(E9))),IF(B9=1,10^(-2*((LOG(G9)-LOG($J$60))/F9-LOG(E9))),"")))))))</f>
      </c>
      <c r="M9" s="307">
        <f aca="true" t="shared" si="2" ref="M9:M21">IF(OR(H9&lt;&gt;"",D9&lt;&gt;0.5),"",IF(AND(B9=2,E9&lt;=91.44),10^(LOG(E9)-(LOG($K$59)-LOG(I9))/F9),IF(AND(B9=2,E9&gt;=1524.3),10^(LOG(E9)-(LOG($K$61)-LOG(I9))/F9),IF(B9=2,10^(LOG(E9)-(LOG($K$60)-LOG(I9))/F9),IF(AND(B9=1,E9&lt;=300),10^(LOG(E9)-(LOG($J$59)-LOG(I9))/F9),IF(AND(B9=1,E9&gt;=5001),10^(LOG(E9)-(LOG($J$61)-LOG(I9))/F9),IF(B9=1,10^(LOG(E9)-(LOG($J$60)-LOG(I9))/F9),"")))))))</f>
      </c>
    </row>
    <row r="10" spans="2:13" ht="29.25" customHeight="1" thickBot="1">
      <c r="B10" s="285"/>
      <c r="C10" s="291"/>
      <c r="D10" s="288"/>
      <c r="E10" s="297"/>
      <c r="F10" s="294"/>
      <c r="G10" s="294"/>
      <c r="H10" s="315">
        <f t="shared" si="0"/>
      </c>
      <c r="I10" s="301">
        <f>IF(SUM(C10:G10)=0,"",IF(AND(H10="",B10=1),ROUND(G10*((E10/(C10^D10))^-F10),2),IF(AND(H10="",B10=2),ROUND(G10*((E10/(C10^D10))^-F10),2),"")))</f>
      </c>
      <c r="J10" s="312">
        <f>IF(SUM(C10:G10)=0,"",IF(H10="",E10/(C10^D10),""))</f>
      </c>
      <c r="K10" s="306">
        <f>IF(OR(E10="",B10="",C10="",D10&lt;&gt;0.5),"",IF(AND(B10=2,E10&lt;=300),(E10/22.6)^2,IF(AND(B10=2,E10&gt;=5001),(E10/29.4)^2,IF(B10=2,(E10/24.9)^2,IF(E10&lt;=300,(E10/50)^2,IF(E10&gt;=5001,(E10/65)^2,(E10/55)^2))))))</f>
      </c>
      <c r="L10" s="304">
        <f t="shared" si="1"/>
      </c>
      <c r="M10" s="304">
        <f t="shared" si="2"/>
      </c>
    </row>
    <row r="11" spans="2:13" ht="30.75" customHeight="1" thickBot="1">
      <c r="B11" s="285"/>
      <c r="C11" s="291"/>
      <c r="D11" s="288"/>
      <c r="E11" s="297"/>
      <c r="F11" s="294"/>
      <c r="G11" s="294"/>
      <c r="H11" s="315">
        <f t="shared" si="0"/>
      </c>
      <c r="I11" s="301">
        <f aca="true" t="shared" si="3" ref="I11:I21">IF(SUM(C11:G11)=0,"",IF(AND(H11="",B11=1),ROUND(G11*((E11/(C11^D11))^-F11),2),IF(AND(H11="",B11=2),ROUND(G11*((E11/(C11^D11))^-F11),2),"")))</f>
      </c>
      <c r="J11" s="312">
        <f aca="true" t="shared" si="4" ref="J11:J21">IF(SUM(C11:G11)=0,"",IF(H11="",E11/(C11^D11),""))</f>
      </c>
      <c r="K11" s="306">
        <f aca="true" t="shared" si="5" ref="K11:K21">IF(OR(E11="",B11="",C11="",D11&lt;&gt;0.5),"",IF(AND(B11=2,E11&lt;=300),(E11/22.6)^2,IF(AND(B11=2,E11&gt;=5001),(E11/29.4)^2,IF(B11=2,(E11/24.9)^2,IF(E11&lt;=300,(E11/50)^2,IF(E11&gt;=5001,(E11/65)^2,(E11/55)^2))))))</f>
      </c>
      <c r="L11" s="304">
        <f t="shared" si="1"/>
      </c>
      <c r="M11" s="304">
        <f t="shared" si="2"/>
      </c>
    </row>
    <row r="12" spans="2:13" ht="18.75" thickBot="1">
      <c r="B12" s="285"/>
      <c r="C12" s="291"/>
      <c r="D12" s="288"/>
      <c r="E12" s="297"/>
      <c r="F12" s="294"/>
      <c r="G12" s="294"/>
      <c r="H12" s="315">
        <f t="shared" si="0"/>
      </c>
      <c r="I12" s="301">
        <f t="shared" si="3"/>
      </c>
      <c r="J12" s="312">
        <f t="shared" si="4"/>
      </c>
      <c r="K12" s="306">
        <f t="shared" si="5"/>
      </c>
      <c r="L12" s="304">
        <f t="shared" si="1"/>
      </c>
      <c r="M12" s="304">
        <f t="shared" si="2"/>
      </c>
    </row>
    <row r="13" spans="2:13" ht="18.75" thickBot="1">
      <c r="B13" s="285"/>
      <c r="C13" s="291"/>
      <c r="D13" s="288"/>
      <c r="E13" s="297"/>
      <c r="F13" s="294"/>
      <c r="G13" s="294"/>
      <c r="H13" s="315">
        <f t="shared" si="0"/>
      </c>
      <c r="I13" s="301">
        <f t="shared" si="3"/>
      </c>
      <c r="J13" s="312">
        <f t="shared" si="4"/>
      </c>
      <c r="K13" s="306">
        <f t="shared" si="5"/>
      </c>
      <c r="L13" s="304">
        <f t="shared" si="1"/>
      </c>
      <c r="M13" s="304">
        <f t="shared" si="2"/>
      </c>
    </row>
    <row r="14" spans="2:13" ht="18.75" thickBot="1">
      <c r="B14" s="285"/>
      <c r="C14" s="291"/>
      <c r="D14" s="288"/>
      <c r="E14" s="297"/>
      <c r="F14" s="294"/>
      <c r="G14" s="294"/>
      <c r="H14" s="315">
        <f t="shared" si="0"/>
      </c>
      <c r="I14" s="301">
        <f t="shared" si="3"/>
      </c>
      <c r="J14" s="312">
        <f t="shared" si="4"/>
      </c>
      <c r="K14" s="306">
        <f t="shared" si="5"/>
      </c>
      <c r="L14" s="304">
        <f t="shared" si="1"/>
      </c>
      <c r="M14" s="304">
        <f t="shared" si="2"/>
      </c>
    </row>
    <row r="15" spans="2:13" ht="18.75" thickBot="1">
      <c r="B15" s="285"/>
      <c r="C15" s="291"/>
      <c r="D15" s="288"/>
      <c r="E15" s="297"/>
      <c r="F15" s="294"/>
      <c r="G15" s="294"/>
      <c r="H15" s="315">
        <f t="shared" si="0"/>
      </c>
      <c r="I15" s="301">
        <f t="shared" si="3"/>
      </c>
      <c r="J15" s="312">
        <f t="shared" si="4"/>
      </c>
      <c r="K15" s="306">
        <f t="shared" si="5"/>
      </c>
      <c r="L15" s="304">
        <f t="shared" si="1"/>
      </c>
      <c r="M15" s="304">
        <f t="shared" si="2"/>
      </c>
    </row>
    <row r="16" spans="2:13" ht="18.75" thickBot="1">
      <c r="B16" s="285"/>
      <c r="C16" s="291"/>
      <c r="D16" s="288"/>
      <c r="E16" s="297"/>
      <c r="F16" s="294"/>
      <c r="G16" s="294"/>
      <c r="H16" s="315">
        <f t="shared" si="0"/>
      </c>
      <c r="I16" s="301">
        <f t="shared" si="3"/>
      </c>
      <c r="J16" s="312">
        <f t="shared" si="4"/>
      </c>
      <c r="K16" s="306">
        <f t="shared" si="5"/>
      </c>
      <c r="L16" s="304">
        <f t="shared" si="1"/>
      </c>
      <c r="M16" s="304">
        <f t="shared" si="2"/>
      </c>
    </row>
    <row r="17" spans="2:13" ht="18.75" thickBot="1">
      <c r="B17" s="285"/>
      <c r="C17" s="291"/>
      <c r="D17" s="288"/>
      <c r="E17" s="297"/>
      <c r="F17" s="294"/>
      <c r="G17" s="294"/>
      <c r="H17" s="315">
        <f t="shared" si="0"/>
      </c>
      <c r="I17" s="301">
        <f t="shared" si="3"/>
      </c>
      <c r="J17" s="312">
        <f t="shared" si="4"/>
      </c>
      <c r="K17" s="306">
        <f t="shared" si="5"/>
      </c>
      <c r="L17" s="304">
        <f t="shared" si="1"/>
      </c>
      <c r="M17" s="304">
        <f t="shared" si="2"/>
      </c>
    </row>
    <row r="18" spans="2:13" ht="18.75" thickBot="1">
      <c r="B18" s="285"/>
      <c r="C18" s="291"/>
      <c r="D18" s="288"/>
      <c r="E18" s="297"/>
      <c r="F18" s="294"/>
      <c r="G18" s="294"/>
      <c r="H18" s="315">
        <f t="shared" si="0"/>
      </c>
      <c r="I18" s="301">
        <f t="shared" si="3"/>
      </c>
      <c r="J18" s="312">
        <f t="shared" si="4"/>
      </c>
      <c r="K18" s="306">
        <f t="shared" si="5"/>
      </c>
      <c r="L18" s="304">
        <f t="shared" si="1"/>
      </c>
      <c r="M18" s="304">
        <f t="shared" si="2"/>
      </c>
    </row>
    <row r="19" spans="2:13" ht="18.75" thickBot="1">
      <c r="B19" s="285"/>
      <c r="C19" s="291"/>
      <c r="D19" s="288"/>
      <c r="E19" s="297"/>
      <c r="F19" s="294"/>
      <c r="G19" s="294"/>
      <c r="H19" s="315">
        <f t="shared" si="0"/>
      </c>
      <c r="I19" s="301">
        <f t="shared" si="3"/>
      </c>
      <c r="J19" s="312">
        <f t="shared" si="4"/>
      </c>
      <c r="K19" s="306">
        <f t="shared" si="5"/>
      </c>
      <c r="L19" s="304">
        <f t="shared" si="1"/>
      </c>
      <c r="M19" s="304">
        <f t="shared" si="2"/>
      </c>
    </row>
    <row r="20" spans="2:13" ht="18.75" thickBot="1">
      <c r="B20" s="285"/>
      <c r="C20" s="291"/>
      <c r="D20" s="288"/>
      <c r="E20" s="297"/>
      <c r="F20" s="294"/>
      <c r="G20" s="294"/>
      <c r="H20" s="315">
        <f t="shared" si="0"/>
      </c>
      <c r="I20" s="301">
        <f t="shared" si="3"/>
      </c>
      <c r="J20" s="312">
        <f t="shared" si="4"/>
      </c>
      <c r="K20" s="306">
        <f t="shared" si="5"/>
      </c>
      <c r="L20" s="304">
        <f t="shared" si="1"/>
      </c>
      <c r="M20" s="304">
        <f t="shared" si="2"/>
      </c>
    </row>
    <row r="21" spans="2:13" ht="18.75" thickBot="1">
      <c r="B21" s="286"/>
      <c r="C21" s="292"/>
      <c r="D21" s="289"/>
      <c r="E21" s="298"/>
      <c r="F21" s="295"/>
      <c r="G21" s="295"/>
      <c r="H21" s="316">
        <f t="shared" si="0"/>
      </c>
      <c r="I21" s="301">
        <f t="shared" si="3"/>
      </c>
      <c r="J21" s="312">
        <f t="shared" si="4"/>
      </c>
      <c r="K21" s="306">
        <f t="shared" si="5"/>
      </c>
      <c r="L21" s="304">
        <f t="shared" si="1"/>
      </c>
      <c r="M21" s="304">
        <f t="shared" si="2"/>
      </c>
    </row>
    <row r="22" ht="12.75">
      <c r="I22" s="209"/>
    </row>
    <row r="23" spans="2:9" ht="15.75">
      <c r="B23" s="210" t="s">
        <v>160</v>
      </c>
      <c r="I23" s="209"/>
    </row>
    <row r="24" ht="13.5" thickBot="1">
      <c r="D24" t="s">
        <v>168</v>
      </c>
    </row>
    <row r="25" spans="2:11" ht="66.75" customHeight="1" thickBot="1" thickTop="1">
      <c r="B25" s="238" t="str">
        <f>IF(B8&gt;1,"Vary charge weight (kgs)","Vary charge weight (lbs)")</f>
        <v>Vary charge weight (lbs)</v>
      </c>
      <c r="C25" s="239" t="str">
        <f>IF(B8&gt;1,"Calculated PPV (mm/sec)","Calculated PPV (in/sec)")</f>
        <v>Calculated PPV (in/sec)</v>
      </c>
      <c r="D25" s="240" t="str">
        <f>IF(B8&gt;1,"Vary distance (m)","Vary distance (ft)")</f>
        <v>Vary distance (ft)</v>
      </c>
      <c r="E25" s="239" t="str">
        <f>IF(B8&gt;1,"Calculated PPV (mm/sec)","Calculated PPV (in/sec)")</f>
        <v>Calculated PPV (in/sec)</v>
      </c>
      <c r="F25" s="241" t="s">
        <v>149</v>
      </c>
      <c r="G25" s="239" t="str">
        <f>IF(B8&gt;1,"Calculated PPV (mm/sec)","Calculated PPV (in/sec)")</f>
        <v>Calculated PPV (in/sec)</v>
      </c>
      <c r="H25" s="242" t="str">
        <f>IF(B8&gt;1,"Vary K factor (m/(kg^0.5))","Vary K factor (ft/(lb^0.5))")</f>
        <v>Vary K factor (ft/(lb^0.5))</v>
      </c>
      <c r="I25" s="239" t="str">
        <f>IF(B8&gt;1,"Calculated PPV (mm/sec)","Calculated PPV (in/sec)")</f>
        <v>Calculated PPV (in/sec)</v>
      </c>
      <c r="J25" s="243" t="s">
        <v>150</v>
      </c>
      <c r="K25" s="244" t="str">
        <f>IF(B8&gt;1,"Calculated PPV (mm/sec)","Calculated PPV (in/sec)")</f>
        <v>Calculated PPV (in/sec)</v>
      </c>
    </row>
    <row r="26" spans="2:11" s="215" customFormat="1" ht="21" customHeight="1" thickBot="1">
      <c r="B26" s="245">
        <f>C8</f>
        <v>15</v>
      </c>
      <c r="C26" s="234">
        <f>I8</f>
        <v>0.27</v>
      </c>
      <c r="D26" s="213">
        <f>E8</f>
        <v>200</v>
      </c>
      <c r="E26" s="214">
        <f>I8</f>
        <v>0.27</v>
      </c>
      <c r="F26" s="213">
        <f>F8</f>
        <v>1.6</v>
      </c>
      <c r="G26" s="234">
        <f>I8</f>
        <v>0.27</v>
      </c>
      <c r="H26" s="213">
        <f>G8</f>
        <v>150</v>
      </c>
      <c r="I26" s="234">
        <f>I8</f>
        <v>0.27</v>
      </c>
      <c r="J26" s="213">
        <f>D8</f>
        <v>0.5</v>
      </c>
      <c r="K26" s="246">
        <f>I8</f>
        <v>0.27</v>
      </c>
    </row>
    <row r="27" spans="2:11" ht="13.5" thickBot="1">
      <c r="B27" s="247">
        <v>5</v>
      </c>
      <c r="C27" s="237">
        <f>IF($H$8="",$G$8*(($E$8/(B27^$D$8))^-$F$8),"Missing data")</f>
        <v>0.11314080631022178</v>
      </c>
      <c r="D27" s="216">
        <v>50</v>
      </c>
      <c r="E27" s="217">
        <f>IF($H$8="",$G$8*((D27/($C$8^$D$8))^-$F$8),"Missing data")</f>
        <v>2.5038727826418543</v>
      </c>
      <c r="F27" s="216">
        <v>0.6</v>
      </c>
      <c r="G27" s="217">
        <f>IF($H$8="",$G$8*(($E$8/($C$8^$D$8))^(-F27)),"Missing data")</f>
        <v>14.070211943237501</v>
      </c>
      <c r="H27" s="216">
        <f>IF($B$8&gt;1,500,20)</f>
        <v>20</v>
      </c>
      <c r="I27" s="217">
        <f>IF($H$8="",H27*(($E$8/($C$8^$D$8))^-$F$8),"Missing data")</f>
        <v>0.036329131022511695</v>
      </c>
      <c r="J27" s="218">
        <v>0.5</v>
      </c>
      <c r="K27" s="248">
        <f>IF($H$8="",$G$8*(($E$8/($C$8^J27))^(-$F$8)),"Missing data")</f>
        <v>0.2724684826688377</v>
      </c>
    </row>
    <row r="28" spans="2:11" ht="13.5" thickBot="1">
      <c r="B28" s="247">
        <v>10</v>
      </c>
      <c r="C28" s="237">
        <f aca="true" t="shared" si="6" ref="C28:C41">IF($H$8="",$G$8*(($E$8/(B28^$D$8))^-$F$8),"Missing data")</f>
        <v>0.19698958533028246</v>
      </c>
      <c r="D28" s="216">
        <v>100</v>
      </c>
      <c r="E28" s="217">
        <f aca="true" t="shared" si="7" ref="E28:E41">IF($H$8="",$G$8*((D28/($C$8^$D$8))^-$F$8),"Missing data")</f>
        <v>0.8259699860662174</v>
      </c>
      <c r="F28" s="216">
        <v>0.7</v>
      </c>
      <c r="G28" s="217">
        <f aca="true" t="shared" si="8" ref="G28:G40">IF($H$8="",$G$8*(($E$8/($C$8^$D$8))^(-F28)),"Missing data")</f>
        <v>9.484232737325343</v>
      </c>
      <c r="H28" s="216">
        <f>IF($B$8&gt;1,750,50)</f>
        <v>50</v>
      </c>
      <c r="I28" s="217">
        <f aca="true" t="shared" si="9" ref="I28:I41">IF($H$8="",H28*(($E$8/($C$8^$D$8))^-$F$8),"Missing data")</f>
        <v>0.09082282755627924</v>
      </c>
      <c r="J28" s="225">
        <v>0.33</v>
      </c>
      <c r="K28" s="249">
        <f>IF($H$8="",$G$8*(($E$8/($C$8^J28))^(-$F$8)),"Missing data")</f>
        <v>0.1304426012424659</v>
      </c>
    </row>
    <row r="29" spans="2:11" ht="13.5" thickBot="1">
      <c r="B29" s="247">
        <v>20</v>
      </c>
      <c r="C29" s="237">
        <f t="shared" si="6"/>
        <v>0.3429787889454947</v>
      </c>
      <c r="D29" s="216">
        <v>150</v>
      </c>
      <c r="E29" s="217">
        <f t="shared" si="7"/>
        <v>0.43173598837665517</v>
      </c>
      <c r="F29" s="216">
        <v>0.8</v>
      </c>
      <c r="G29" s="217">
        <f t="shared" si="8"/>
        <v>6.392986188028694</v>
      </c>
      <c r="H29" s="216">
        <f>IF($B$8&gt;1,900,100)</f>
        <v>100</v>
      </c>
      <c r="I29" s="217">
        <f t="shared" si="9"/>
        <v>0.18164565511255848</v>
      </c>
      <c r="J29" s="216"/>
      <c r="K29" s="250"/>
    </row>
    <row r="30" spans="2:11" ht="13.5" thickBot="1">
      <c r="B30" s="247">
        <v>50</v>
      </c>
      <c r="C30" s="237">
        <f t="shared" si="6"/>
        <v>0.7138702270184545</v>
      </c>
      <c r="D30" s="216">
        <v>200</v>
      </c>
      <c r="E30" s="217">
        <f t="shared" si="7"/>
        <v>0.2724684826688377</v>
      </c>
      <c r="F30" s="216">
        <v>0.9</v>
      </c>
      <c r="G30" s="217">
        <f t="shared" si="8"/>
        <v>4.309286110143637</v>
      </c>
      <c r="H30" s="219">
        <f>IF($B$8&gt;1,950,150)</f>
        <v>150</v>
      </c>
      <c r="I30" s="217">
        <f t="shared" si="9"/>
        <v>0.2724684826688377</v>
      </c>
      <c r="J30" s="216"/>
      <c r="K30" s="250"/>
    </row>
    <row r="31" spans="2:11" ht="12.75">
      <c r="B31" s="247">
        <v>100</v>
      </c>
      <c r="C31" s="237">
        <f t="shared" si="6"/>
        <v>1.2429202565024953</v>
      </c>
      <c r="D31" s="216">
        <v>250</v>
      </c>
      <c r="E31" s="217">
        <f t="shared" si="7"/>
        <v>0.190660291388786</v>
      </c>
      <c r="F31" s="216">
        <v>1</v>
      </c>
      <c r="G31" s="217">
        <f t="shared" si="8"/>
        <v>2.9047375096555625</v>
      </c>
      <c r="H31" s="216">
        <f>IF($B$8&gt;1,1000,200)</f>
        <v>200</v>
      </c>
      <c r="I31" s="217">
        <f t="shared" si="9"/>
        <v>0.36329131022511696</v>
      </c>
      <c r="J31" s="216"/>
      <c r="K31" s="250"/>
    </row>
    <row r="32" spans="2:11" ht="12.75">
      <c r="B32" s="247">
        <v>150</v>
      </c>
      <c r="C32" s="237">
        <f t="shared" si="6"/>
        <v>1.719159902792773</v>
      </c>
      <c r="D32" s="216">
        <v>300</v>
      </c>
      <c r="E32" s="217">
        <f t="shared" si="7"/>
        <v>0.1424197630070878</v>
      </c>
      <c r="F32" s="216">
        <v>1.1</v>
      </c>
      <c r="G32" s="217">
        <f t="shared" si="8"/>
        <v>1.9579809240651134</v>
      </c>
      <c r="H32" s="216">
        <f>IF($B$8&gt;1,1050,250)</f>
        <v>250</v>
      </c>
      <c r="I32" s="217">
        <f t="shared" si="9"/>
        <v>0.4541141377813962</v>
      </c>
      <c r="J32" s="216"/>
      <c r="K32" s="250"/>
    </row>
    <row r="33" spans="2:11" ht="12.75">
      <c r="B33" s="247">
        <v>200</v>
      </c>
      <c r="C33" s="237">
        <f t="shared" si="6"/>
        <v>2.1640498588608206</v>
      </c>
      <c r="D33" s="216">
        <v>350</v>
      </c>
      <c r="E33" s="217">
        <f t="shared" si="7"/>
        <v>0.11128980855925034</v>
      </c>
      <c r="F33" s="216">
        <v>1.2</v>
      </c>
      <c r="G33" s="217">
        <f t="shared" si="8"/>
        <v>1.3198057608508214</v>
      </c>
      <c r="H33" s="216">
        <f>IF($B$8&gt;1,1100,300)</f>
        <v>300</v>
      </c>
      <c r="I33" s="217">
        <f t="shared" si="9"/>
        <v>0.5449369653376754</v>
      </c>
      <c r="J33" s="216"/>
      <c r="K33" s="250"/>
    </row>
    <row r="34" spans="2:11" ht="12.75">
      <c r="B34" s="247">
        <v>250</v>
      </c>
      <c r="C34" s="237">
        <f t="shared" si="6"/>
        <v>2.5869931152397787</v>
      </c>
      <c r="D34" s="216">
        <v>400</v>
      </c>
      <c r="E34" s="217">
        <f t="shared" si="7"/>
        <v>0.08988107957945465</v>
      </c>
      <c r="F34" s="216">
        <v>1.3</v>
      </c>
      <c r="G34" s="217">
        <f t="shared" si="8"/>
        <v>0.8896344315543938</v>
      </c>
      <c r="H34" s="216">
        <f>IF($B$8&gt;1,1150,350)</f>
        <v>350</v>
      </c>
      <c r="I34" s="217">
        <f t="shared" si="9"/>
        <v>0.6357597928939547</v>
      </c>
      <c r="J34" s="216"/>
      <c r="K34" s="250"/>
    </row>
    <row r="35" spans="2:11" ht="12.75">
      <c r="B35" s="247">
        <v>300</v>
      </c>
      <c r="C35" s="237">
        <f t="shared" si="6"/>
        <v>2.9932312435447175</v>
      </c>
      <c r="D35" s="216">
        <v>450</v>
      </c>
      <c r="E35" s="217">
        <f t="shared" si="7"/>
        <v>0.07444306474025399</v>
      </c>
      <c r="F35" s="216">
        <v>1.4</v>
      </c>
      <c r="G35" s="217">
        <f t="shared" si="8"/>
        <v>0.5996711374383583</v>
      </c>
      <c r="H35" s="216">
        <f>IF($B$8&gt;1,2000,400)</f>
        <v>400</v>
      </c>
      <c r="I35" s="217">
        <f t="shared" si="9"/>
        <v>0.7265826204502339</v>
      </c>
      <c r="J35" s="216"/>
      <c r="K35" s="250"/>
    </row>
    <row r="36" spans="2:11" ht="12.75">
      <c r="B36" s="247">
        <v>350</v>
      </c>
      <c r="C36" s="237">
        <f t="shared" si="6"/>
        <v>3.386083796055685</v>
      </c>
      <c r="D36" s="216">
        <v>500</v>
      </c>
      <c r="E36" s="217">
        <f t="shared" si="7"/>
        <v>0.06289444068944207</v>
      </c>
      <c r="F36" s="216">
        <v>1.5</v>
      </c>
      <c r="G36" s="217">
        <f t="shared" si="8"/>
        <v>0.4042171259584699</v>
      </c>
      <c r="H36" s="216">
        <f>IF($B$8&gt;1,2500,450)</f>
        <v>450</v>
      </c>
      <c r="I36" s="217">
        <f t="shared" si="9"/>
        <v>0.8174054480065132</v>
      </c>
      <c r="J36" s="216"/>
      <c r="K36" s="250"/>
    </row>
    <row r="37" spans="2:11" ht="12.75">
      <c r="B37" s="247">
        <v>400</v>
      </c>
      <c r="C37" s="237">
        <f t="shared" si="6"/>
        <v>3.767829647264367</v>
      </c>
      <c r="D37" s="216">
        <v>550</v>
      </c>
      <c r="E37" s="217">
        <f t="shared" si="7"/>
        <v>0.0539987818943457</v>
      </c>
      <c r="F37" s="216">
        <v>1.6</v>
      </c>
      <c r="G37" s="217">
        <f t="shared" si="8"/>
        <v>0.2724684826688377</v>
      </c>
      <c r="H37" s="216">
        <f>IF($B$8&gt;1,3000,500)</f>
        <v>500</v>
      </c>
      <c r="I37" s="217">
        <f t="shared" si="9"/>
        <v>0.9082282755627924</v>
      </c>
      <c r="J37" s="216"/>
      <c r="K37" s="250"/>
    </row>
    <row r="38" spans="2:11" ht="12.75">
      <c r="B38" s="247">
        <v>450</v>
      </c>
      <c r="C38" s="237">
        <f t="shared" si="6"/>
        <v>4.140123315850312</v>
      </c>
      <c r="D38" s="216">
        <v>600</v>
      </c>
      <c r="E38" s="217">
        <f t="shared" si="7"/>
        <v>0.04698100098456332</v>
      </c>
      <c r="F38" s="216">
        <v>1.7</v>
      </c>
      <c r="G38" s="217">
        <f t="shared" si="8"/>
        <v>0.18366137721608108</v>
      </c>
      <c r="H38" s="216">
        <f>IF($B$8&gt;1,3500,550)</f>
        <v>550</v>
      </c>
      <c r="I38" s="217">
        <f t="shared" si="9"/>
        <v>0.9990511031190716</v>
      </c>
      <c r="J38" s="216"/>
      <c r="K38" s="250"/>
    </row>
    <row r="39" spans="2:11" ht="12.75">
      <c r="B39" s="247">
        <v>500</v>
      </c>
      <c r="C39" s="237">
        <f t="shared" si="6"/>
        <v>4.504216627430364</v>
      </c>
      <c r="D39" s="216">
        <v>650</v>
      </c>
      <c r="E39" s="217">
        <f t="shared" si="7"/>
        <v>0.0413335679585219</v>
      </c>
      <c r="F39" s="216">
        <v>1.8</v>
      </c>
      <c r="G39" s="217">
        <f t="shared" si="8"/>
        <v>0.12379964519384583</v>
      </c>
      <c r="H39" s="216">
        <f>IF($B$8&gt;1,4000,600)</f>
        <v>600</v>
      </c>
      <c r="I39" s="217">
        <f t="shared" si="9"/>
        <v>1.0898739306753509</v>
      </c>
      <c r="J39" s="216"/>
      <c r="K39" s="250"/>
    </row>
    <row r="40" spans="2:11" ht="12.75">
      <c r="B40" s="247">
        <v>550</v>
      </c>
      <c r="C40" s="237">
        <f t="shared" si="6"/>
        <v>4.861087266122679</v>
      </c>
      <c r="D40" s="216">
        <v>700</v>
      </c>
      <c r="E40" s="217">
        <f t="shared" si="7"/>
        <v>0.03671194569558294</v>
      </c>
      <c r="F40" s="216">
        <v>1.9</v>
      </c>
      <c r="G40" s="217">
        <f t="shared" si="8"/>
        <v>0.08344896669314628</v>
      </c>
      <c r="H40" s="216">
        <f>IF($B$8&gt;1,4500,650)</f>
        <v>650</v>
      </c>
      <c r="I40" s="217">
        <f t="shared" si="9"/>
        <v>1.1806967582316301</v>
      </c>
      <c r="J40" s="216"/>
      <c r="K40" s="250"/>
    </row>
    <row r="41" spans="2:11" ht="13.5" thickBot="1">
      <c r="B41" s="251">
        <v>600</v>
      </c>
      <c r="C41" s="252">
        <f t="shared" si="6"/>
        <v>5.211518290286825</v>
      </c>
      <c r="D41" s="253">
        <v>750</v>
      </c>
      <c r="E41" s="252">
        <f t="shared" si="7"/>
        <v>0.032875036590344534</v>
      </c>
      <c r="F41" s="253">
        <v>2</v>
      </c>
      <c r="G41" s="252">
        <f>IF($H$8="",$G$8*(($E$8/($C$8^$D$8))^(-F41)),"Missing data")</f>
        <v>0.05625</v>
      </c>
      <c r="H41" s="253">
        <f>IF($B$8&gt;1,5000,700)</f>
        <v>700</v>
      </c>
      <c r="I41" s="252">
        <f t="shared" si="9"/>
        <v>1.2715195857879094</v>
      </c>
      <c r="J41" s="253"/>
      <c r="K41" s="254"/>
    </row>
    <row r="42" ht="13.5" thickTop="1"/>
    <row r="45" ht="15">
      <c r="B45" s="220" t="s">
        <v>151</v>
      </c>
    </row>
    <row r="47" spans="2:11" ht="42.75" customHeight="1">
      <c r="B47" s="351" t="s">
        <v>169</v>
      </c>
      <c r="C47" s="363"/>
      <c r="D47" s="363"/>
      <c r="E47" s="363"/>
      <c r="F47" s="363"/>
      <c r="G47" s="363"/>
      <c r="H47" s="363"/>
      <c r="I47" s="363"/>
      <c r="J47" s="363"/>
      <c r="K47" s="363"/>
    </row>
    <row r="48" spans="2:11" ht="17.25" customHeight="1">
      <c r="B48" s="120"/>
      <c r="C48" s="119"/>
      <c r="D48" s="119"/>
      <c r="E48" s="119"/>
      <c r="F48" s="119"/>
      <c r="G48" s="119"/>
      <c r="H48" s="119"/>
      <c r="I48" s="119"/>
      <c r="J48" s="119"/>
      <c r="K48" s="119"/>
    </row>
    <row r="49" spans="2:11" ht="50.25" customHeight="1">
      <c r="B49" s="351" t="s">
        <v>171</v>
      </c>
      <c r="C49" s="363"/>
      <c r="D49" s="363"/>
      <c r="E49" s="363"/>
      <c r="F49" s="363"/>
      <c r="G49" s="363"/>
      <c r="H49" s="363"/>
      <c r="I49" s="363"/>
      <c r="J49" s="363"/>
      <c r="K49" s="363"/>
    </row>
    <row r="51" ht="15">
      <c r="B51" s="220" t="s">
        <v>157</v>
      </c>
    </row>
    <row r="52" spans="2:11" ht="56.25" customHeight="1">
      <c r="B52" s="362" t="s">
        <v>172</v>
      </c>
      <c r="C52" s="397"/>
      <c r="D52" s="397"/>
      <c r="E52" s="397"/>
      <c r="F52" s="397"/>
      <c r="G52" s="397"/>
      <c r="H52" s="397"/>
      <c r="I52" s="397"/>
      <c r="J52" s="397"/>
      <c r="K52" s="397"/>
    </row>
    <row r="54" ht="18.75">
      <c r="B54" s="221" t="s">
        <v>146</v>
      </c>
    </row>
    <row r="56" ht="13.5" thickBot="1"/>
    <row r="57" spans="2:13" ht="18.75" thickBot="1">
      <c r="B57" s="94" t="s">
        <v>68</v>
      </c>
      <c r="C57" s="95"/>
      <c r="D57" s="95"/>
      <c r="E57" s="95"/>
      <c r="F57" s="95"/>
      <c r="G57" s="97"/>
      <c r="H57" s="230" t="s">
        <v>84</v>
      </c>
      <c r="I57" s="231"/>
      <c r="J57" s="231"/>
      <c r="K57" s="231" t="s">
        <v>177</v>
      </c>
      <c r="L57" s="231"/>
      <c r="M57" s="232"/>
    </row>
    <row r="58" spans="2:13" ht="75" customHeight="1" thickBot="1">
      <c r="B58" s="398" t="s">
        <v>69</v>
      </c>
      <c r="C58" s="399"/>
      <c r="D58" s="399"/>
      <c r="E58" s="222" t="s">
        <v>38</v>
      </c>
      <c r="F58" s="223" t="s">
        <v>41</v>
      </c>
      <c r="H58" s="226" t="s">
        <v>86</v>
      </c>
      <c r="I58" s="226" t="s">
        <v>173</v>
      </c>
      <c r="J58" s="279" t="s">
        <v>87</v>
      </c>
      <c r="K58" s="279" t="s">
        <v>170</v>
      </c>
      <c r="L58" s="279" t="s">
        <v>155</v>
      </c>
      <c r="M58" s="279" t="s">
        <v>156</v>
      </c>
    </row>
    <row r="59" spans="2:13" ht="12.75">
      <c r="B59" s="97" t="s">
        <v>66</v>
      </c>
      <c r="C59" s="10"/>
      <c r="D59" s="88"/>
      <c r="E59" s="98">
        <v>0.5</v>
      </c>
      <c r="F59" s="99">
        <f>E59*25.4</f>
        <v>12.7</v>
      </c>
      <c r="H59" s="227" t="s">
        <v>81</v>
      </c>
      <c r="I59" s="277" t="s">
        <v>174</v>
      </c>
      <c r="J59" s="273">
        <v>1.25</v>
      </c>
      <c r="K59" s="271">
        <f>CONVERT(J59,"in","mm")</f>
        <v>31.75</v>
      </c>
      <c r="L59" s="268">
        <v>50</v>
      </c>
      <c r="M59" s="271">
        <f>CONVERT(50,"ft","m")/((CONVERT(1,"lbm","kg"))^0.5)</f>
        <v>22.62831030084249</v>
      </c>
    </row>
    <row r="60" spans="2:13" ht="12.75">
      <c r="B60" s="97" t="s">
        <v>65</v>
      </c>
      <c r="C60" s="10"/>
      <c r="D60" s="88"/>
      <c r="E60" s="98">
        <v>0.75</v>
      </c>
      <c r="F60" s="99">
        <f>E60*25.4</f>
        <v>19.049999999999997</v>
      </c>
      <c r="H60" s="228" t="s">
        <v>82</v>
      </c>
      <c r="I60" s="228" t="s">
        <v>175</v>
      </c>
      <c r="J60" s="273">
        <v>1</v>
      </c>
      <c r="K60" s="267">
        <f>CONVERT(J60,"in","mm")</f>
        <v>25.4</v>
      </c>
      <c r="L60" s="266">
        <v>55</v>
      </c>
      <c r="M60" s="271">
        <f>CONVERT(55,"ft","m")/((CONVERT(1,"lbm","kg"))^0.5)</f>
        <v>24.89114133092674</v>
      </c>
    </row>
    <row r="61" spans="2:13" ht="13.5" thickBot="1">
      <c r="B61" s="97"/>
      <c r="C61" s="10"/>
      <c r="D61" s="88"/>
      <c r="E61" s="98"/>
      <c r="F61" s="99"/>
      <c r="H61" s="229" t="s">
        <v>83</v>
      </c>
      <c r="I61" s="278" t="s">
        <v>176</v>
      </c>
      <c r="J61" s="274">
        <v>0.75</v>
      </c>
      <c r="K61" s="270">
        <f>CONVERT(J61,"in","mm")</f>
        <v>19.05</v>
      </c>
      <c r="L61" s="269">
        <v>65</v>
      </c>
      <c r="M61" s="272">
        <f>CONVERT(65,"ft","m")/((CONVERT(1,"lbm","kg"))^0.5)</f>
        <v>29.41680339109524</v>
      </c>
    </row>
    <row r="62" spans="2:6" ht="13.5" thickBot="1">
      <c r="B62" s="371" t="s">
        <v>67</v>
      </c>
      <c r="C62" s="372"/>
      <c r="D62" s="100"/>
      <c r="E62" s="101">
        <v>0.75</v>
      </c>
      <c r="F62" s="102">
        <f>E62*25.4</f>
        <v>19.049999999999997</v>
      </c>
    </row>
    <row r="63" spans="2:7" ht="12.75">
      <c r="B63" s="2"/>
      <c r="C63" s="2"/>
      <c r="F63" s="93"/>
      <c r="G63" s="92"/>
    </row>
    <row r="64" spans="2:7" ht="12.75">
      <c r="B64" s="2"/>
      <c r="C64" s="2"/>
      <c r="F64" s="93"/>
      <c r="G64" s="92"/>
    </row>
    <row r="65" spans="2:13" ht="64.5" customHeight="1">
      <c r="B65" s="396" t="s">
        <v>181</v>
      </c>
      <c r="C65" s="351"/>
      <c r="D65" s="351"/>
      <c r="E65" s="351"/>
      <c r="F65" s="351"/>
      <c r="G65" s="351"/>
      <c r="H65" s="351"/>
      <c r="I65" s="351"/>
      <c r="J65" s="351"/>
      <c r="K65" s="351"/>
      <c r="L65" s="351"/>
      <c r="M65" s="351"/>
    </row>
    <row r="67" ht="12.75">
      <c r="B67" s="211" t="s">
        <v>162</v>
      </c>
    </row>
    <row r="69" spans="2:6" ht="12.75">
      <c r="B69" s="224" t="s">
        <v>152</v>
      </c>
      <c r="F69" s="15" t="s">
        <v>64</v>
      </c>
    </row>
  </sheetData>
  <sheetProtection password="9A04" sheet="1" objects="1" scenarios="1" selectLockedCells="1"/>
  <mergeCells count="9">
    <mergeCell ref="E1:I1"/>
    <mergeCell ref="B5:L5"/>
    <mergeCell ref="B65:M65"/>
    <mergeCell ref="B52:K52"/>
    <mergeCell ref="B62:C62"/>
    <mergeCell ref="B58:D58"/>
    <mergeCell ref="B47:K47"/>
    <mergeCell ref="B49:K49"/>
    <mergeCell ref="I6:M6"/>
  </mergeCells>
  <conditionalFormatting sqref="K8:K21">
    <cfRule type="expression" priority="1" dxfId="0" stopIfTrue="1">
      <formula>AND(K8&gt;0,C8&gt;K8)</formula>
    </cfRule>
    <cfRule type="expression" priority="2" dxfId="1" stopIfTrue="1">
      <formula>AND($B8=2,K8&gt;0)</formula>
    </cfRule>
  </conditionalFormatting>
  <conditionalFormatting sqref="L8:L21">
    <cfRule type="expression" priority="3" dxfId="0" stopIfTrue="1">
      <formula>AND(L8&gt;0,C8&gt;L8)</formula>
    </cfRule>
    <cfRule type="expression" priority="4" dxfId="1" stopIfTrue="1">
      <formula>AND($B8=2,L8&gt;0)</formula>
    </cfRule>
  </conditionalFormatting>
  <conditionalFormatting sqref="J8:J21">
    <cfRule type="expression" priority="5" dxfId="1" stopIfTrue="1">
      <formula>AND($B8=2,J8&gt;0)</formula>
    </cfRule>
  </conditionalFormatting>
  <conditionalFormatting sqref="C8:C21">
    <cfRule type="expression" priority="6" dxfId="2" stopIfTrue="1">
      <formula>AND(K8&gt;0,C8&gt;K8)</formula>
    </cfRule>
    <cfRule type="expression" priority="7" dxfId="1" stopIfTrue="1">
      <formula>AND($B8=2,C8&gt;0)</formula>
    </cfRule>
    <cfRule type="cellIs" priority="8" dxfId="3" operator="equal" stopIfTrue="1">
      <formula>0</formula>
    </cfRule>
  </conditionalFormatting>
  <conditionalFormatting sqref="E8:E21">
    <cfRule type="expression" priority="9" dxfId="4" stopIfTrue="1">
      <formula>AND($B8=2,E8&gt;0)</formula>
    </cfRule>
    <cfRule type="cellIs" priority="10" dxfId="5" operator="equal" stopIfTrue="1">
      <formula>0</formula>
    </cfRule>
    <cfRule type="expression" priority="11" dxfId="4" stopIfTrue="1">
      <formula>AND($B8=1,E8&gt;0)</formula>
    </cfRule>
  </conditionalFormatting>
  <conditionalFormatting sqref="F8:G21">
    <cfRule type="expression" priority="12" dxfId="4" stopIfTrue="1">
      <formula>AND($B8=2,F8&gt;0)</formula>
    </cfRule>
    <cfRule type="expression" priority="13" dxfId="4" stopIfTrue="1">
      <formula>AND($B8=1,F8&gt;0)</formula>
    </cfRule>
  </conditionalFormatting>
  <conditionalFormatting sqref="D8:D21">
    <cfRule type="expression" priority="14" dxfId="1" stopIfTrue="1">
      <formula>AND($B8=2,C8&gt;0)</formula>
    </cfRule>
    <cfRule type="expression" priority="15" dxfId="6" stopIfTrue="1">
      <formula>AND($B8=1,C8&gt;0)</formula>
    </cfRule>
    <cfRule type="cellIs" priority="16" dxfId="3" operator="equal" stopIfTrue="1">
      <formula>0</formula>
    </cfRule>
  </conditionalFormatting>
  <conditionalFormatting sqref="I8:I21">
    <cfRule type="expression" priority="17" dxfId="0" stopIfTrue="1">
      <formula>OR(AND(B8=1,E8&gt;=5001,I8&gt;$J$61),AND(B8=1,E8&gt;=301,E8&lt;=5000,I8&gt;$J$60),AND(B8=1,E8&lt;=300,I8&gt;$J$59))</formula>
    </cfRule>
    <cfRule type="expression" priority="18" dxfId="0" stopIfTrue="1">
      <formula>OR(AND(B8=2,E8&gt;=1524.3,I8&gt;$K$61),AND(B8=2,E8&gt;=91.74,E8&lt;=1524,I8&gt;$K$60),AND(B8=2,E8&lt;=91.44,I8&gt;$K$59))</formula>
    </cfRule>
    <cfRule type="expression" priority="19" dxfId="1" stopIfTrue="1">
      <formula>AND($B8=2,I8&gt;0)</formula>
    </cfRule>
  </conditionalFormatting>
  <conditionalFormatting sqref="B8">
    <cfRule type="cellIs" priority="20" dxfId="7" operator="greaterThan" stopIfTrue="1">
      <formula>1</formula>
    </cfRule>
  </conditionalFormatting>
  <conditionalFormatting sqref="B9:B21">
    <cfRule type="cellIs" priority="21" dxfId="7" operator="greaterThan" stopIfTrue="1">
      <formula>1</formula>
    </cfRule>
    <cfRule type="cellIs" priority="22" dxfId="8" operator="equal" stopIfTrue="1">
      <formula>1</formula>
    </cfRule>
    <cfRule type="cellIs" priority="23" dxfId="3" operator="equal" stopIfTrue="1">
      <formula>0</formula>
    </cfRule>
  </conditionalFormatting>
  <conditionalFormatting sqref="M8:M21">
    <cfRule type="expression" priority="24" dxfId="0" stopIfTrue="1">
      <formula>AND(M8&gt;0,E8&lt;M8)</formula>
    </cfRule>
    <cfRule type="expression" priority="25" dxfId="1" stopIfTrue="1">
      <formula>AND($B8=2,M8&gt;0)</formula>
    </cfRule>
  </conditionalFormatting>
  <dataValidations count="11">
    <dataValidation type="whole" allowBlank="1" showInputMessage="1" showErrorMessage="1" sqref="B6">
      <formula1>1</formula1>
      <formula2>2</formula2>
    </dataValidation>
    <dataValidation type="whole" allowBlank="1" showInputMessage="1" showErrorMessage="1" errorTitle="U.S. or Metric units?" error="Choose 1 for U.S.; 2 for metric.Entries cannot be 0. blank or negative." sqref="B9:B21">
      <formula1>1</formula1>
      <formula2>2</formula2>
    </dataValidation>
    <dataValidation errorStyle="warning" type="whole" allowBlank="1" showInputMessage="1" showErrorMessage="1" errorTitle="Bad K factor" error="K factor must be 20-600 in U.S. units or 500- 5000 in metric units. Entries cannot be 0. blank or negative." sqref="G9:G21">
      <formula1>20</formula1>
      <formula2>5000</formula2>
    </dataValidation>
    <dataValidation errorStyle="warning" type="decimal" allowBlank="1" showInputMessage="1" showErrorMessage="1" errorTitle="Scaling error" error="Charge weight scaling must be between 0.33 and 0.5. Recommended value is 0.5 in most cases, as required by OSM. Entries cannot be 0. blank or negative." sqref="D9:D21">
      <formula1>0.33</formula1>
      <formula2>0.5</formula2>
    </dataValidation>
    <dataValidation type="decimal" allowBlank="1" showInputMessage="1" showErrorMessage="1" errorTitle="Scaling error" error="Charge weight scaling must be between 0.33 and 0.5. Recommended value is 0.5 in most cases, as required by OSM. Entries cannot be 0. blank or negative" sqref="D8">
      <formula1>0.33</formula1>
      <formula2>0.5</formula2>
    </dataValidation>
    <dataValidation type="decimal" operator="greaterThan" allowBlank="1" showInputMessage="1" showErrorMessage="1" errorTitle="Incorrect entry" error="Entries cannot be 0. blank or negative" sqref="C9:C21 E8">
      <formula1>0</formula1>
    </dataValidation>
    <dataValidation type="whole" allowBlank="1" showInputMessage="1" showErrorMessage="1" errorTitle="U.S. or Metric units?" error="Choose 1 for U.S.; 2 for metric. Entries cannot be 0. blank or negative." sqref="B8">
      <formula1>1</formula1>
      <formula2>2</formula2>
    </dataValidation>
    <dataValidation errorStyle="warning" type="whole" allowBlank="1" showInputMessage="1" showErrorMessage="1" errorTitle="Bad K factor" error="K factor must be 20-600 in U.S. units or 500- 5000 in metric units. Entries cannot be 0. blank or negative." sqref="G8">
      <formula1>20</formula1>
      <formula2>5000</formula2>
    </dataValidation>
    <dataValidation type="decimal" operator="greaterThan" allowBlank="1" showInputMessage="1" showErrorMessage="1" errorTitle="Incorrect entry" error="Entries cannot be 0. blank or negative." sqref="E9:E21 C8">
      <formula1>0</formula1>
    </dataValidation>
    <dataValidation type="decimal" allowBlank="1" showInputMessage="1" showErrorMessage="1" errorTitle="Incorrect entry" error="Entries must be between 0.6 and 2 and cannot be 0. blank or negative." sqref="F9:F21">
      <formula1>0.6</formula1>
      <formula2>2</formula2>
    </dataValidation>
    <dataValidation type="decimal" allowBlank="1" showInputMessage="1" showErrorMessage="1" errorTitle="Incorrect entry" error="Entries must be between 0.6 and 2 and cannot be 0. blank or negative" sqref="F8">
      <formula1>0.6</formula1>
      <formula2>2</formula2>
    </dataValidation>
  </dataValidations>
  <hyperlinks>
    <hyperlink ref="B4" r:id="rId1" display="Online documentation"/>
    <hyperlink ref="D4" location="'Blast PPV Calc.'!A42" display="Parameter Variations"/>
    <hyperlink ref="F4" location="'Blast PPV Calc.'!A49" display="Additional Notes"/>
    <hyperlink ref="G4" location="'Blast PPV Calc.'!A52" display="Tips"/>
    <hyperlink ref="H4" location="'Blast PPV Calc.'!A62" display="Reference"/>
    <hyperlink ref="B67" location="'Blast PPV Calc.'!A1" display="Top"/>
    <hyperlink ref="K4" location="'Blast PPV Calc.'!B8" display="Calculate"/>
    <hyperlink ref="I4" location="'Blast PPV Calc.'!A67" display="Disclaimer"/>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B2:P42"/>
  <sheetViews>
    <sheetView workbookViewId="0" topLeftCell="A1">
      <selection activeCell="B8" sqref="B8"/>
    </sheetView>
  </sheetViews>
  <sheetFormatPr defaultColWidth="9.140625" defaultRowHeight="12.75"/>
  <cols>
    <col min="2" max="2" width="13.421875" style="0" customWidth="1"/>
    <col min="3" max="3" width="16.00390625" style="0" customWidth="1"/>
    <col min="4" max="4" width="14.28125" style="0" customWidth="1"/>
    <col min="5" max="5" width="15.00390625" style="0" customWidth="1"/>
    <col min="6" max="6" width="13.7109375" style="0" customWidth="1"/>
    <col min="8" max="8" width="10.57421875" style="0" customWidth="1"/>
  </cols>
  <sheetData>
    <row r="2" ht="18">
      <c r="B2" s="208" t="s">
        <v>194</v>
      </c>
    </row>
    <row r="4" spans="2:6" ht="13.5" thickBot="1">
      <c r="B4" s="333" t="s">
        <v>163</v>
      </c>
      <c r="C4" s="2"/>
      <c r="D4" s="334" t="s">
        <v>158</v>
      </c>
      <c r="E4" s="2"/>
      <c r="F4" s="235"/>
    </row>
    <row r="5" spans="2:16" ht="92.25" customHeight="1" thickBot="1">
      <c r="B5" s="403" t="s">
        <v>204</v>
      </c>
      <c r="C5" s="404"/>
      <c r="D5" s="404"/>
      <c r="E5" s="404"/>
      <c r="F5" s="404"/>
      <c r="G5" s="404"/>
      <c r="H5" s="404"/>
      <c r="I5" s="405"/>
      <c r="J5" s="120"/>
      <c r="K5" s="120"/>
      <c r="L5" s="120"/>
      <c r="M5" s="120"/>
      <c r="N5" s="120"/>
      <c r="O5" s="120"/>
      <c r="P5" s="120"/>
    </row>
    <row r="6" spans="2:6" ht="55.5" customHeight="1" thickBot="1">
      <c r="B6" s="409" t="s">
        <v>201</v>
      </c>
      <c r="C6" s="410"/>
      <c r="D6" s="410"/>
      <c r="E6" s="410"/>
      <c r="F6" s="411"/>
    </row>
    <row r="7" spans="2:6" ht="63.75" customHeight="1" thickBot="1">
      <c r="B7" s="317" t="s">
        <v>183</v>
      </c>
      <c r="C7" s="318" t="s">
        <v>200</v>
      </c>
      <c r="D7" s="319" t="s">
        <v>195</v>
      </c>
      <c r="E7" s="320" t="s">
        <v>196</v>
      </c>
      <c r="F7" s="321" t="s">
        <v>197</v>
      </c>
    </row>
    <row r="8" spans="2:6" ht="18.75" thickBot="1">
      <c r="B8" s="328"/>
      <c r="C8" s="329"/>
      <c r="D8" s="322">
        <f aca="true" t="shared" si="0" ref="D8:D31">IF(OR(B8="",C8=""),"",IF(B8=2,100*LOGNORMDIST((C8/25.4),0.874,0.822),100*LOGNORMDIST(C8,0.874,0.822)))</f>
      </c>
      <c r="E8" s="322">
        <f aca="true" t="shared" si="1" ref="E8:E31">IF(OR(B8="",C8=""),"",IF(B8=2,100*LOGNORMDIST((C8/25.4),1.644,0.627),100*LOGNORMDIST(C8,1.644,0.627)))</f>
      </c>
      <c r="F8" s="322">
        <f aca="true" t="shared" si="2" ref="F8:F31">IF(OR(B8="",C8=""),"",IF(B8=2,100*LOGNORMDIST((C8/25.4),1.842,0.544),100*LOGNORMDIST(C8,1.842,0.544)))</f>
      </c>
    </row>
    <row r="9" spans="2:6" ht="18.75" thickBot="1">
      <c r="B9" s="328"/>
      <c r="C9" s="329"/>
      <c r="D9" s="322">
        <f t="shared" si="0"/>
      </c>
      <c r="E9" s="322">
        <f t="shared" si="1"/>
      </c>
      <c r="F9" s="322">
        <f t="shared" si="2"/>
      </c>
    </row>
    <row r="10" spans="2:6" ht="18.75" thickBot="1">
      <c r="B10" s="328"/>
      <c r="C10" s="329"/>
      <c r="D10" s="322">
        <f t="shared" si="0"/>
      </c>
      <c r="E10" s="322">
        <f t="shared" si="1"/>
      </c>
      <c r="F10" s="322">
        <f t="shared" si="2"/>
      </c>
    </row>
    <row r="11" spans="2:6" ht="18.75" thickBot="1">
      <c r="B11" s="328"/>
      <c r="C11" s="329"/>
      <c r="D11" s="322">
        <f t="shared" si="0"/>
      </c>
      <c r="E11" s="322">
        <f t="shared" si="1"/>
      </c>
      <c r="F11" s="322">
        <f t="shared" si="2"/>
      </c>
    </row>
    <row r="12" spans="2:6" ht="18.75" thickBot="1">
      <c r="B12" s="328"/>
      <c r="C12" s="329"/>
      <c r="D12" s="322">
        <f t="shared" si="0"/>
      </c>
      <c r="E12" s="322">
        <f t="shared" si="1"/>
      </c>
      <c r="F12" s="322">
        <f t="shared" si="2"/>
      </c>
    </row>
    <row r="13" spans="2:6" ht="18.75" thickBot="1">
      <c r="B13" s="328"/>
      <c r="C13" s="329"/>
      <c r="D13" s="322">
        <f t="shared" si="0"/>
      </c>
      <c r="E13" s="322">
        <f t="shared" si="1"/>
      </c>
      <c r="F13" s="322">
        <f t="shared" si="2"/>
      </c>
    </row>
    <row r="14" spans="2:6" ht="18.75" thickBot="1">
      <c r="B14" s="328"/>
      <c r="C14" s="329"/>
      <c r="D14" s="322">
        <f t="shared" si="0"/>
      </c>
      <c r="E14" s="322">
        <f t="shared" si="1"/>
      </c>
      <c r="F14" s="322">
        <f t="shared" si="2"/>
      </c>
    </row>
    <row r="15" spans="2:6" ht="18.75" thickBot="1">
      <c r="B15" s="328"/>
      <c r="C15" s="329"/>
      <c r="D15" s="322">
        <f t="shared" si="0"/>
      </c>
      <c r="E15" s="322">
        <f t="shared" si="1"/>
      </c>
      <c r="F15" s="322">
        <f t="shared" si="2"/>
      </c>
    </row>
    <row r="16" spans="2:6" ht="18.75" thickBot="1">
      <c r="B16" s="328"/>
      <c r="C16" s="329"/>
      <c r="D16" s="322">
        <f t="shared" si="0"/>
      </c>
      <c r="E16" s="322">
        <f t="shared" si="1"/>
      </c>
      <c r="F16" s="322">
        <f t="shared" si="2"/>
      </c>
    </row>
    <row r="17" spans="2:6" ht="18.75" thickBot="1">
      <c r="B17" s="328"/>
      <c r="C17" s="329"/>
      <c r="D17" s="322">
        <f t="shared" si="0"/>
      </c>
      <c r="E17" s="322">
        <f t="shared" si="1"/>
      </c>
      <c r="F17" s="322">
        <f t="shared" si="2"/>
      </c>
    </row>
    <row r="18" spans="2:6" ht="18.75" thickBot="1">
      <c r="B18" s="328"/>
      <c r="C18" s="329"/>
      <c r="D18" s="322">
        <f t="shared" si="0"/>
      </c>
      <c r="E18" s="322">
        <f t="shared" si="1"/>
      </c>
      <c r="F18" s="322">
        <f t="shared" si="2"/>
      </c>
    </row>
    <row r="19" spans="2:6" ht="18.75" thickBot="1">
      <c r="B19" s="328"/>
      <c r="C19" s="329"/>
      <c r="D19" s="322">
        <f t="shared" si="0"/>
      </c>
      <c r="E19" s="322">
        <f t="shared" si="1"/>
      </c>
      <c r="F19" s="322">
        <f t="shared" si="2"/>
      </c>
    </row>
    <row r="20" spans="2:6" ht="18.75" thickBot="1">
      <c r="B20" s="328"/>
      <c r="C20" s="329"/>
      <c r="D20" s="322">
        <f t="shared" si="0"/>
      </c>
      <c r="E20" s="322">
        <f t="shared" si="1"/>
      </c>
      <c r="F20" s="322">
        <f t="shared" si="2"/>
      </c>
    </row>
    <row r="21" spans="2:6" ht="18.75" thickBot="1">
      <c r="B21" s="328"/>
      <c r="C21" s="329"/>
      <c r="D21" s="322">
        <f t="shared" si="0"/>
      </c>
      <c r="E21" s="322">
        <f t="shared" si="1"/>
      </c>
      <c r="F21" s="322">
        <f t="shared" si="2"/>
      </c>
    </row>
    <row r="22" spans="2:6" ht="18.75" thickBot="1">
      <c r="B22" s="328"/>
      <c r="C22" s="329"/>
      <c r="D22" s="322">
        <f t="shared" si="0"/>
      </c>
      <c r="E22" s="322">
        <f t="shared" si="1"/>
      </c>
      <c r="F22" s="322">
        <f t="shared" si="2"/>
      </c>
    </row>
    <row r="23" spans="2:6" ht="18.75" thickBot="1">
      <c r="B23" s="328"/>
      <c r="C23" s="329"/>
      <c r="D23" s="322">
        <f t="shared" si="0"/>
      </c>
      <c r="E23" s="322">
        <f t="shared" si="1"/>
      </c>
      <c r="F23" s="322">
        <f t="shared" si="2"/>
      </c>
    </row>
    <row r="24" spans="2:6" ht="18.75" thickBot="1">
      <c r="B24" s="328"/>
      <c r="C24" s="329"/>
      <c r="D24" s="322">
        <f t="shared" si="0"/>
      </c>
      <c r="E24" s="322">
        <f t="shared" si="1"/>
      </c>
      <c r="F24" s="322">
        <f t="shared" si="2"/>
      </c>
    </row>
    <row r="25" spans="2:6" ht="18.75" thickBot="1">
      <c r="B25" s="328"/>
      <c r="C25" s="329"/>
      <c r="D25" s="322">
        <f t="shared" si="0"/>
      </c>
      <c r="E25" s="322">
        <f t="shared" si="1"/>
      </c>
      <c r="F25" s="322">
        <f t="shared" si="2"/>
      </c>
    </row>
    <row r="26" spans="2:6" ht="18.75" thickBot="1">
      <c r="B26" s="328"/>
      <c r="C26" s="329"/>
      <c r="D26" s="322">
        <f t="shared" si="0"/>
      </c>
      <c r="E26" s="322">
        <f t="shared" si="1"/>
      </c>
      <c r="F26" s="322">
        <f t="shared" si="2"/>
      </c>
    </row>
    <row r="27" spans="2:6" ht="18.75" thickBot="1">
      <c r="B27" s="328"/>
      <c r="C27" s="329"/>
      <c r="D27" s="322">
        <f t="shared" si="0"/>
      </c>
      <c r="E27" s="322">
        <f t="shared" si="1"/>
      </c>
      <c r="F27" s="322">
        <f t="shared" si="2"/>
      </c>
    </row>
    <row r="28" spans="2:6" ht="18.75" thickBot="1">
      <c r="B28" s="328"/>
      <c r="C28" s="329"/>
      <c r="D28" s="322">
        <f t="shared" si="0"/>
      </c>
      <c r="E28" s="322">
        <f t="shared" si="1"/>
      </c>
      <c r="F28" s="322">
        <f t="shared" si="2"/>
      </c>
    </row>
    <row r="29" spans="2:6" ht="18.75" thickBot="1">
      <c r="B29" s="328"/>
      <c r="C29" s="329"/>
      <c r="D29" s="322">
        <f t="shared" si="0"/>
      </c>
      <c r="E29" s="322">
        <f t="shared" si="1"/>
      </c>
      <c r="F29" s="322">
        <f t="shared" si="2"/>
      </c>
    </row>
    <row r="30" spans="2:6" ht="18.75" thickBot="1">
      <c r="B30" s="328"/>
      <c r="C30" s="329"/>
      <c r="D30" s="322">
        <f t="shared" si="0"/>
      </c>
      <c r="E30" s="322">
        <f t="shared" si="1"/>
      </c>
      <c r="F30" s="322">
        <f t="shared" si="2"/>
      </c>
    </row>
    <row r="31" spans="2:6" ht="18.75" thickBot="1">
      <c r="B31" s="328"/>
      <c r="C31" s="330"/>
      <c r="D31" s="331">
        <f t="shared" si="0"/>
      </c>
      <c r="E31" s="323">
        <f t="shared" si="1"/>
      </c>
      <c r="F31" s="323">
        <f t="shared" si="2"/>
      </c>
    </row>
    <row r="32" spans="2:10" ht="15" customHeight="1" thickBot="1" thickTop="1">
      <c r="B32" s="324"/>
      <c r="C32" s="325" t="s">
        <v>198</v>
      </c>
      <c r="D32" s="326">
        <f>IF(SUM(D8:D31)=0,"",IF(SUM(D8:D31)&gt;95,"&gt;95",SUM(D8:D31)))</f>
      </c>
      <c r="E32" s="332">
        <f>IF(SUM(E8:E31)=0,"",IF(SUM(E8:E31)&gt;95,"&gt;95",SUM(E8:E31)))</f>
      </c>
      <c r="F32" s="327">
        <f>IF(SUM(F8:F31)=0,"",IF(SUM(F8:F31)&gt;95,"&gt;95",SUM(F8:F31)))</f>
      </c>
      <c r="G32" s="120"/>
      <c r="H32" s="120"/>
      <c r="I32" s="120"/>
      <c r="J32" s="120"/>
    </row>
    <row r="33" ht="14.25" thickBot="1" thickTop="1"/>
    <row r="34" spans="2:14" ht="96" customHeight="1" thickBot="1">
      <c r="B34" s="406" t="s">
        <v>202</v>
      </c>
      <c r="C34" s="407"/>
      <c r="D34" s="407"/>
      <c r="E34" s="407"/>
      <c r="F34" s="407"/>
      <c r="G34" s="407"/>
      <c r="H34" s="407"/>
      <c r="I34" s="407"/>
      <c r="J34" s="407"/>
      <c r="K34" s="407"/>
      <c r="L34" s="407"/>
      <c r="M34" s="408"/>
      <c r="N34" s="119"/>
    </row>
    <row r="36" spans="2:13" ht="23.25" customHeight="1">
      <c r="B36" s="412" t="s">
        <v>203</v>
      </c>
      <c r="C36" s="351"/>
      <c r="D36" s="351"/>
      <c r="E36" s="351"/>
      <c r="F36" s="351"/>
      <c r="G36" s="351"/>
      <c r="H36" s="351"/>
      <c r="I36" s="351"/>
      <c r="J36" s="351"/>
      <c r="K36" s="351"/>
      <c r="L36" s="351"/>
      <c r="M36" s="351"/>
    </row>
    <row r="38" spans="2:13" ht="78.75" customHeight="1">
      <c r="B38" s="396" t="s">
        <v>181</v>
      </c>
      <c r="C38" s="351"/>
      <c r="D38" s="351"/>
      <c r="E38" s="351"/>
      <c r="F38" s="351"/>
      <c r="G38" s="351"/>
      <c r="H38" s="351"/>
      <c r="I38" s="351"/>
      <c r="J38" s="351"/>
      <c r="K38" s="351"/>
      <c r="L38" s="351"/>
      <c r="M38" s="351"/>
    </row>
    <row r="39" ht="12.75">
      <c r="H39" s="209"/>
    </row>
    <row r="40" spans="2:8" ht="12.75">
      <c r="B40" s="334"/>
      <c r="H40" s="209"/>
    </row>
    <row r="41" ht="12.75">
      <c r="H41" s="209"/>
    </row>
    <row r="42" spans="2:8" ht="12.75">
      <c r="B42" s="224" t="s">
        <v>199</v>
      </c>
      <c r="F42" s="15" t="s">
        <v>64</v>
      </c>
      <c r="H42" s="209"/>
    </row>
  </sheetData>
  <sheetProtection password="9A04" sheet="1" objects="1" scenarios="1" selectLockedCells="1"/>
  <mergeCells count="5">
    <mergeCell ref="B5:I5"/>
    <mergeCell ref="B38:M38"/>
    <mergeCell ref="B34:M34"/>
    <mergeCell ref="B6:F6"/>
    <mergeCell ref="B36:M36"/>
  </mergeCells>
  <conditionalFormatting sqref="C32:F32">
    <cfRule type="cellIs" priority="1" dxfId="4" operator="greaterThan" stopIfTrue="1">
      <formula>0</formula>
    </cfRule>
  </conditionalFormatting>
  <conditionalFormatting sqref="C8:C31">
    <cfRule type="expression" priority="2" dxfId="4" stopIfTrue="1">
      <formula>AND(B8&gt;1,C8&gt;0)</formula>
    </cfRule>
    <cfRule type="expression" priority="3" dxfId="9" stopIfTrue="1">
      <formula>AND(B8=1,C8&gt;0)</formula>
    </cfRule>
    <cfRule type="cellIs" priority="4" dxfId="4" operator="greaterThan" stopIfTrue="1">
      <formula>0</formula>
    </cfRule>
  </conditionalFormatting>
  <conditionalFormatting sqref="B8:B31">
    <cfRule type="cellIs" priority="5" dxfId="7" operator="greaterThan" stopIfTrue="1">
      <formula>1</formula>
    </cfRule>
    <cfRule type="cellIs" priority="6" dxfId="8" operator="equal" stopIfTrue="1">
      <formula>1</formula>
    </cfRule>
    <cfRule type="cellIs" priority="7" dxfId="4" operator="equal" stopIfTrue="1">
      <formula>0</formula>
    </cfRule>
  </conditionalFormatting>
  <conditionalFormatting sqref="D8:D31">
    <cfRule type="cellIs" priority="8" dxfId="5" operator="equal" stopIfTrue="1">
      <formula>0</formula>
    </cfRule>
    <cfRule type="expression" priority="9" dxfId="10" stopIfTrue="1">
      <formula>AND(D8&gt;0,OR(D8&lt;5,D8&gt;95))</formula>
    </cfRule>
    <cfRule type="cellIs" priority="10" dxfId="11" operator="between" stopIfTrue="1">
      <formula>5</formula>
      <formula>95</formula>
    </cfRule>
  </conditionalFormatting>
  <conditionalFormatting sqref="E8:E31">
    <cfRule type="cellIs" priority="11" dxfId="5" operator="equal" stopIfTrue="1">
      <formula>0</formula>
    </cfRule>
    <cfRule type="expression" priority="12" dxfId="10" stopIfTrue="1">
      <formula>AND(E8&gt;0,OR(E8&lt;5,E8&gt;95))</formula>
    </cfRule>
    <cfRule type="cellIs" priority="13" dxfId="12" operator="between" stopIfTrue="1">
      <formula>5</formula>
      <formula>95</formula>
    </cfRule>
  </conditionalFormatting>
  <conditionalFormatting sqref="F8:F31">
    <cfRule type="cellIs" priority="14" dxfId="5" operator="equal" stopIfTrue="1">
      <formula>0</formula>
    </cfRule>
    <cfRule type="expression" priority="15" dxfId="10" stopIfTrue="1">
      <formula>AND(F8&gt;0,OR(F8&lt;5,F8&gt;95))</formula>
    </cfRule>
    <cfRule type="cellIs" priority="16" dxfId="13" operator="between" stopIfTrue="1">
      <formula>5</formula>
      <formula>95</formula>
    </cfRule>
  </conditionalFormatting>
  <dataValidations count="2">
    <dataValidation type="whole" allowBlank="1" showInputMessage="1" showErrorMessage="1" errorTitle="Units Alert" error="Units designator must be either 1 or 2" sqref="B8:B31">
      <formula1>1</formula1>
      <formula2>2</formula2>
    </dataValidation>
    <dataValidation type="decimal" operator="greaterThan" allowBlank="1" showInputMessage="1" showErrorMessage="1" errorTitle="Input PPV" error="Must be greater than 0" sqref="C8:C31">
      <formula1>0</formula1>
    </dataValidation>
  </dataValidations>
  <hyperlinks>
    <hyperlink ref="B4" location="'Damage Probability Calc.'!B10" display="Calculate"/>
    <hyperlink ref="D4" r:id="rId1" display="Online documentation"/>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Silchemy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Vibrationdamage.com Ground Vibration Calculator</dc:title>
  <dc:subject>Calculation of ground vibration velocities and safe distances</dc:subject>
  <dc:creator>John M. Zeigler</dc:creator>
  <cp:keywords>PPV, safe, distance, standard, limit, excel, .XLS</cp:keywords>
  <dc:description/>
  <cp:lastModifiedBy>jzeigler</cp:lastModifiedBy>
  <cp:lastPrinted>2018-08-09T21:07:07Z</cp:lastPrinted>
  <dcterms:created xsi:type="dcterms:W3CDTF">2017-10-11T19:59:30Z</dcterms:created>
  <dcterms:modified xsi:type="dcterms:W3CDTF">2022-10-17T17:55:04Z</dcterms:modified>
  <cp:category>scientific</cp:category>
  <cp:version/>
  <cp:contentType/>
  <cp:contentStatus/>
</cp:coreProperties>
</file>

<file path=docProps/custom.xml><?xml version="1.0" encoding="utf-8"?>
<Properties xmlns="http://schemas.openxmlformats.org/officeDocument/2006/custom-properties" xmlns:vt="http://schemas.openxmlformats.org/officeDocument/2006/docPropsVTypes"/>
</file>